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66925"/>
  <xr:revisionPtr revIDLastSave="0" documentId="6_{78890F06-49C9-4982-82CC-45E7B8103B64}" xr6:coauthVersionLast="47" xr6:coauthVersionMax="47" xr10:uidLastSave="{00000000-0000-0000-0000-000000000000}"/>
  <bookViews>
    <workbookView xWindow="6585" yWindow="2580" windowWidth="28800" windowHeight="15435" xr2:uid="{00000000-000D-0000-FFFF-FFFF00000000}"/>
  </bookViews>
  <sheets>
    <sheet name="Määritelmät" sheetId="9" r:id="rId1"/>
    <sheet name="Siltalaskelmat" sheetId="8"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Määritelmät!$A$1:$B$152</definedName>
    <definedName name="_xlnm.Print_Area" localSheetId="1">Siltalaskelmat!$B$1:$F$221</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9" i="8" l="1"/>
  <c r="D189" i="8"/>
  <c r="E189" i="8"/>
  <c r="B189" i="8"/>
  <c r="B190" i="8" s="1"/>
  <c r="B116" i="8" l="1"/>
  <c r="B117" i="8" s="1"/>
  <c r="B123" i="8" s="1"/>
  <c r="B124" i="8" s="1"/>
  <c r="B156" i="8"/>
  <c r="B129" i="8"/>
  <c r="C122" i="8"/>
  <c r="C129" i="8"/>
  <c r="B122" i="8"/>
  <c r="B85" i="8"/>
  <c r="B77" i="8"/>
  <c r="B86" i="8"/>
  <c r="B53" i="8"/>
  <c r="B43" i="8" l="1"/>
  <c r="B45" i="8" s="1"/>
  <c r="B210" i="8"/>
  <c r="B215" i="8" s="1"/>
  <c r="B217" i="8" s="1"/>
  <c r="B205" i="8"/>
  <c r="B209" i="8" s="1"/>
  <c r="B201" i="8"/>
  <c r="B144" i="8"/>
  <c r="B130" i="8"/>
  <c r="B131" i="8" s="1"/>
  <c r="B134" i="8" s="1"/>
  <c r="B100" i="8"/>
  <c r="B93" i="8"/>
  <c r="B63" i="8"/>
  <c r="B94" i="8" s="1"/>
  <c r="B32" i="8"/>
  <c r="B27" i="8"/>
  <c r="B29" i="8" s="1"/>
  <c r="B16" i="8"/>
  <c r="B20" i="8" s="1"/>
  <c r="B79" i="8" l="1"/>
  <c r="B34" i="8"/>
  <c r="B150" i="8"/>
  <c r="B151" i="8" s="1"/>
  <c r="B160" i="8"/>
  <c r="B162" i="8" s="1"/>
  <c r="B211" i="8"/>
  <c r="B95" i="8"/>
  <c r="B101" i="8" l="1"/>
  <c r="B102" i="8" s="1"/>
  <c r="B105" i="8" s="1"/>
  <c r="B80" i="8"/>
  <c r="B87" i="8"/>
  <c r="B88" i="8" s="1"/>
  <c r="B15" i="8"/>
  <c r="B22" i="8" s="1"/>
  <c r="B174" i="8"/>
  <c r="B178" i="8" s="1"/>
  <c r="B69" i="8"/>
  <c r="B72" i="8" s="1"/>
  <c r="A243" i="8" l="1"/>
  <c r="A236" i="8"/>
  <c r="D43" i="8"/>
  <c r="D53" i="8" l="1"/>
  <c r="C53" i="8"/>
  <c r="C210" i="8" l="1"/>
  <c r="C215" i="8" s="1"/>
  <c r="C217" i="8" s="1"/>
  <c r="C41" i="8"/>
  <c r="D45" i="8"/>
  <c r="C162" i="8"/>
  <c r="C144" i="8"/>
  <c r="C150" i="8" s="1"/>
  <c r="C151" i="8" s="1"/>
  <c r="C190" i="8"/>
  <c r="C206" i="8"/>
  <c r="C208" i="8" s="1"/>
  <c r="C175" i="8"/>
  <c r="C174" i="8" s="1"/>
  <c r="C171" i="8"/>
  <c r="C177" i="8" s="1"/>
  <c r="C117" i="8"/>
  <c r="C123" i="8" s="1"/>
  <c r="C124" i="8" s="1"/>
  <c r="C100" i="8"/>
  <c r="C93" i="8"/>
  <c r="C86" i="8"/>
  <c r="C70" i="8"/>
  <c r="C69" i="8" s="1"/>
  <c r="C72" i="8" s="1"/>
  <c r="C63" i="8"/>
  <c r="C79" i="8" s="1"/>
  <c r="C31" i="8"/>
  <c r="C28" i="8"/>
  <c r="C27" i="8"/>
  <c r="C17" i="8"/>
  <c r="C16" i="8" s="1"/>
  <c r="C12" i="8"/>
  <c r="C11" i="8" s="1"/>
  <c r="D217" i="8"/>
  <c r="D206" i="8"/>
  <c r="D208" i="8" s="1"/>
  <c r="D190" i="8"/>
  <c r="D175" i="8"/>
  <c r="D174" i="8" s="1"/>
  <c r="D171" i="8"/>
  <c r="D170" i="8" s="1"/>
  <c r="D117" i="8"/>
  <c r="D123" i="8" s="1"/>
  <c r="D100" i="8"/>
  <c r="D93" i="8"/>
  <c r="D86" i="8"/>
  <c r="D70" i="8"/>
  <c r="D69" i="8" s="1"/>
  <c r="D72" i="8" s="1"/>
  <c r="D63" i="8"/>
  <c r="D79" i="8" s="1"/>
  <c r="D31" i="8"/>
  <c r="D28" i="8"/>
  <c r="D27" i="8"/>
  <c r="D199" i="8" s="1"/>
  <c r="D205" i="8" s="1"/>
  <c r="D16" i="8"/>
  <c r="D12" i="8"/>
  <c r="E11" i="8"/>
  <c r="E16" i="8"/>
  <c r="E19" i="8"/>
  <c r="E28" i="8"/>
  <c r="E29" i="8" s="1"/>
  <c r="E31" i="8"/>
  <c r="E32" i="8" s="1"/>
  <c r="E61" i="8"/>
  <c r="E63" i="8" s="1"/>
  <c r="E94" i="8" s="1"/>
  <c r="E69" i="8"/>
  <c r="E72" i="8" s="1"/>
  <c r="E86" i="8"/>
  <c r="E93" i="8"/>
  <c r="E100" i="8"/>
  <c r="E117" i="8"/>
  <c r="E123" i="8" s="1"/>
  <c r="E124" i="8" s="1"/>
  <c r="E170" i="8"/>
  <c r="E173" i="8" s="1"/>
  <c r="E174" i="8"/>
  <c r="E177" i="8"/>
  <c r="E190" i="8"/>
  <c r="E201" i="8"/>
  <c r="E205" i="8"/>
  <c r="E206" i="8"/>
  <c r="E208" i="8" s="1"/>
  <c r="E217" i="8"/>
  <c r="E225" i="8"/>
  <c r="E234" i="8"/>
  <c r="E242" i="8"/>
  <c r="A246" i="8" s="1"/>
  <c r="D19" i="8" l="1"/>
  <c r="D20" i="8" s="1"/>
  <c r="C19" i="8"/>
  <c r="C20" i="8" s="1"/>
  <c r="E20" i="8"/>
  <c r="D32" i="8"/>
  <c r="C29" i="8"/>
  <c r="E14" i="8"/>
  <c r="E15" i="8" s="1"/>
  <c r="E22" i="8" s="1"/>
  <c r="D11" i="8"/>
  <c r="D14" i="8" s="1"/>
  <c r="D15" i="8" s="1"/>
  <c r="C42" i="8"/>
  <c r="C43" i="8" s="1"/>
  <c r="C45" i="8" s="1"/>
  <c r="E178" i="8"/>
  <c r="E95" i="8"/>
  <c r="D209" i="8"/>
  <c r="D211" i="8" s="1"/>
  <c r="C94" i="8"/>
  <c r="C95" i="8" s="1"/>
  <c r="E209" i="8"/>
  <c r="E211" i="8" s="1"/>
  <c r="C32" i="8"/>
  <c r="E34" i="8"/>
  <c r="C199" i="8"/>
  <c r="D29" i="8"/>
  <c r="D94" i="8"/>
  <c r="D95" i="8" s="1"/>
  <c r="C170" i="8"/>
  <c r="C173" i="8" s="1"/>
  <c r="C178" i="8" s="1"/>
  <c r="E79" i="8"/>
  <c r="E80" i="8" s="1"/>
  <c r="C130" i="8"/>
  <c r="C131" i="8" s="1"/>
  <c r="C134" i="8" s="1"/>
  <c r="C101" i="8"/>
  <c r="C102" i="8" s="1"/>
  <c r="C80" i="8"/>
  <c r="C87" i="8"/>
  <c r="C88" i="8" s="1"/>
  <c r="C14" i="8"/>
  <c r="C15" i="8" s="1"/>
  <c r="D124" i="8"/>
  <c r="D130" i="8"/>
  <c r="D131" i="8" s="1"/>
  <c r="D101" i="8"/>
  <c r="D102" i="8" s="1"/>
  <c r="D80" i="8"/>
  <c r="D87" i="8"/>
  <c r="D88" i="8" s="1"/>
  <c r="D173" i="8"/>
  <c r="E130" i="8"/>
  <c r="E131" i="8" s="1"/>
  <c r="E134" i="8" s="1"/>
  <c r="D201" i="8"/>
  <c r="D177" i="8"/>
  <c r="D134" i="8" l="1"/>
  <c r="D22" i="8"/>
  <c r="C34" i="8"/>
  <c r="D34" i="8"/>
  <c r="E101" i="8"/>
  <c r="E102" i="8" s="1"/>
  <c r="E105" i="8" s="1"/>
  <c r="C105" i="8"/>
  <c r="C22" i="8"/>
  <c r="D178" i="8"/>
  <c r="D105" i="8"/>
  <c r="C205" i="8"/>
  <c r="C209" i="8" s="1"/>
  <c r="C211" i="8" s="1"/>
  <c r="C201" i="8"/>
  <c r="E87" i="8"/>
  <c r="E88" i="8" s="1"/>
  <c r="F186" i="8"/>
  <c r="F189" i="8" s="1"/>
  <c r="F190" i="8" s="1"/>
  <c r="F201" i="8"/>
  <c r="F16" i="8"/>
  <c r="F117" i="8" l="1"/>
  <c r="F123" i="8" s="1"/>
  <c r="F130" i="8" l="1"/>
  <c r="F131" i="8" s="1"/>
  <c r="F124" i="8"/>
  <c r="F206" i="8"/>
  <c r="F208" i="8" s="1"/>
  <c r="F205" i="8"/>
  <c r="F209" i="8" l="1"/>
  <c r="F134" i="8"/>
  <c r="F177" i="8"/>
  <c r="F170" i="8"/>
  <c r="F173" i="8" s="1"/>
  <c r="F174" i="8"/>
  <c r="F69" i="8"/>
  <c r="F72" i="8" l="1"/>
  <c r="F178" i="8"/>
  <c r="F93" i="8"/>
  <c r="F100" i="8"/>
  <c r="F63" i="8" l="1"/>
  <c r="F79" i="8" s="1"/>
  <c r="F31" i="8"/>
  <c r="F32" i="8" s="1"/>
  <c r="F28" i="8"/>
  <c r="F29" i="8" s="1"/>
  <c r="F19" i="8"/>
  <c r="F94" i="8" l="1"/>
  <c r="F95" i="8" s="1"/>
  <c r="F87" i="8"/>
  <c r="F88" i="8" s="1"/>
  <c r="F101" i="8"/>
  <c r="F102" i="8" s="1"/>
  <c r="F80" i="8"/>
  <c r="F20" i="8"/>
  <c r="F105" i="8" l="1"/>
  <c r="F11" i="8"/>
  <c r="F14" i="8" l="1"/>
  <c r="F15" i="8" s="1"/>
  <c r="F22" i="8" s="1"/>
  <c r="F245" i="8"/>
  <c r="E250" i="8"/>
  <c r="F234" i="8"/>
  <c r="F225" i="8"/>
  <c r="F217" i="8"/>
  <c r="F211" i="8"/>
  <c r="F34" i="8"/>
  <c r="E228" i="8" l="1"/>
  <c r="E229" i="8"/>
</calcChain>
</file>

<file path=xl/sharedStrings.xml><?xml version="1.0" encoding="utf-8"?>
<sst xmlns="http://schemas.openxmlformats.org/spreadsheetml/2006/main" count="353" uniqueCount="158">
  <si>
    <t>x 100 %</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</si>
  <si>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</si>
  <si>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</si>
  <si>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</si>
  <si>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</si>
  <si>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</si>
  <si>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</si>
  <si>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</si>
  <si>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</si>
  <si>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</si>
  <si>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</si>
  <si>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</si>
  <si>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</si>
  <si>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</si>
  <si>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</si>
  <si>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</si>
  <si>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</si>
  <si>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</si>
  <si>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</si>
  <si>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31.12.2019</t>
  </si>
  <si>
    <t>Topdanmark</t>
  </si>
  <si>
    <t>Mandatum Life</t>
  </si>
  <si>
    <t>31.12.2020</t>
  </si>
  <si>
    <t>31.12.2021</t>
  </si>
  <si>
    <t>Hastings</t>
  </si>
  <si>
    <t>-</t>
  </si>
  <si>
    <t>31.12.2022</t>
  </si>
  <si>
    <t>Vaihtoehtoisten tunnuslukujen (APM) täsmäytyslaskelmat</t>
  </si>
  <si>
    <t>Sampo-konserni</t>
  </si>
  <si>
    <t>Oman pääoman tuotto käyvin arvoin %, (RoE)</t>
  </si>
  <si>
    <t>Emoyhtiön osakkeenomistajille kuuluva osuus kauden laajasta tuloksesta</t>
  </si>
  <si>
    <t>Sijoituskiinteistöjen arvostuserojen muutos</t>
  </si>
  <si>
    <t xml:space="preserve"> käypä arvo vuoden alussa</t>
  </si>
  <si>
    <t xml:space="preserve"> käypä arvo  vuoden lopussa</t>
  </si>
  <si>
    <t>Laskennallisen veron muutos arvostuserosta</t>
  </si>
  <si>
    <t>Yhteensä</t>
  </si>
  <si>
    <t xml:space="preserve">Emoyhtiön osakkeenomistajille kuuluva osuus omasta pääomasta </t>
  </si>
  <si>
    <t xml:space="preserve">  vuoden alussa</t>
  </si>
  <si>
    <t xml:space="preserve">  vuoden lopussa</t>
  </si>
  <si>
    <t>Sijoituskiinteistöjen arvostuserot, netto (vuoden alun ja lopun keskiarvo)</t>
  </si>
  <si>
    <t>Taseen loppusumma</t>
  </si>
  <si>
    <t>Omavaraisuusaste %</t>
  </si>
  <si>
    <t>Emoyhtiön omistajille kuuluva oma pääoma</t>
  </si>
  <si>
    <t>Sijoituskiinteistöjen arvostuserot, netto</t>
  </si>
  <si>
    <t>Sijoituskiinteistöen arvotuserot</t>
  </si>
  <si>
    <t>Underwriting-tulos</t>
  </si>
  <si>
    <t>+ Vakuutusmaksutuotot</t>
  </si>
  <si>
    <t>+ Omuut tuotot (Hastings)</t>
  </si>
  <si>
    <t>- Korvauskulut</t>
  </si>
  <si>
    <t>- Liikekulut</t>
  </si>
  <si>
    <t>Underwriting-tulos, netto</t>
  </si>
  <si>
    <t>Yhdistetty kulusuhde, %</t>
  </si>
  <si>
    <t>Velkaisuusaste</t>
  </si>
  <si>
    <t>Rahoitusvelat</t>
  </si>
  <si>
    <t>Oma pääoma</t>
  </si>
  <si>
    <t>Velkaisuusaste, %</t>
  </si>
  <si>
    <t>Vakuutusmaksutuotot</t>
  </si>
  <si>
    <t xml:space="preserve">+ Vakuutusmaksutulo </t>
  </si>
  <si>
    <t>- Vakuutusmaksuvastuun muutos</t>
  </si>
  <si>
    <t>Oman pääoman tuotto %, (RoE)</t>
  </si>
  <si>
    <t>Kauden laaja tulos</t>
  </si>
  <si>
    <t xml:space="preserve">Oma pääoma </t>
  </si>
  <si>
    <t>Riskisuhde, %</t>
  </si>
  <si>
    <t>+ Korvauskulut</t>
  </si>
  <si>
    <t>- Korvausten käsittelykulut</t>
  </si>
  <si>
    <t>Toimintakulusuhde, %</t>
  </si>
  <si>
    <t>+ Liikekulut</t>
  </si>
  <si>
    <t>+ Korvausten käsittelykulut</t>
  </si>
  <si>
    <t>Vahinkosuhde, %</t>
  </si>
  <si>
    <t>Liikekulusuhde, %</t>
  </si>
  <si>
    <t>Huom! Topdanmarkin vaihtoehtoiset tunnusluvut on laskettu yhtiön oman erillistilinpäätöksen pohjalta.</t>
  </si>
  <si>
    <t xml:space="preserve">+ Vakuutusmaksutulo (brutto) </t>
  </si>
  <si>
    <t>- Vakuutusmaksuvastuun muutos (brutto)</t>
  </si>
  <si>
    <t>- Jälleenvakuuttajien osuus vakuutusmaksutuotosta</t>
  </si>
  <si>
    <t>Vakuutusmaksutuotot (netto)</t>
  </si>
  <si>
    <t>Operatiivinen kulusuhde, %</t>
  </si>
  <si>
    <t>+ Vakuutusten hankintakulut</t>
  </si>
  <si>
    <t>+ Muut liikekulut</t>
  </si>
  <si>
    <t>+ Operatiiviset poistot</t>
  </si>
  <si>
    <t>+ Muut tuotot</t>
  </si>
  <si>
    <t>Oma pääoma (average of year end and and reporting date)</t>
  </si>
  <si>
    <t>Liikekustannussuhde, %</t>
  </si>
  <si>
    <t>Huom! Mandatumin liikekulusuhde on laskettu yhtiön oman erillistilinpäätöksen pohjalta.</t>
  </si>
  <si>
    <t>Liikekulut, sis. korvausten käsittelykulut</t>
  </si>
  <si>
    <t>Kuormitustulo, henkivakuutus</t>
  </si>
  <si>
    <t>Liikevaihto, muut toiminnot</t>
  </si>
  <si>
    <t>Osakekohtaiset tunnusluvut</t>
  </si>
  <si>
    <t>Osakekohtainen oma pääoma</t>
  </si>
  <si>
    <t>Emoyhtiön osakkeenomistajille kuuluva oma pääoma</t>
  </si>
  <si>
    <t>Raportointipäivän oikaistu osakkeiden lukumäärä</t>
  </si>
  <si>
    <t>Osakekohtainen substanssi (NAV/osake)</t>
  </si>
  <si>
    <t>Sijoituskiinteistöjen arvostuserot</t>
  </si>
  <si>
    <t>Nordean ja Topdanmarkin osakkeiden arvostuserot</t>
  </si>
  <si>
    <t>Laskennallinen verovelka arvostuseroista</t>
  </si>
  <si>
    <t>Osakekannan markkina-arvo</t>
  </si>
  <si>
    <t>Oikaistu viimeinen kaupantekokurssi</t>
  </si>
  <si>
    <t>+ Vakuutusmaksutulo</t>
  </si>
  <si>
    <t>Asiakashyvitykset</t>
  </si>
  <si>
    <t>Vaihtoehtoiset tunnusluvut (Alternative Performance Measures)</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</si>
  <si>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</si>
  <si>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 xml:space="preserve">IFRS:n tai muun lainsäädännön säätelemiä tunnuslukuja ei katsota vaihtoehtoisiksi tunnusluvuiksi. Kaikki vaihtoehtoiset tunnusluvut vertailulukuineen lasketaan yhdenmukaisesti eri vuosina, jollei toisin ole mainittu. </t>
  </si>
  <si>
    <t>Sampo-ryhmä</t>
  </si>
  <si>
    <t xml:space="preserve">Oman pääoman tuottosuhde kertoo, kuinka paljon tuottoa yhtiö kykenee tuottamaan omistajien siihen sijoittamille varoille. Mitä enemmän velkoja yhtiöllä on suhteessa omaan pääomaan, sitä herkempi RoE on tuottotason muutoksille. </t>
  </si>
  <si>
    <t>Laskentakaava:</t>
  </si>
  <si>
    <t>+ emoyhtiön osakkeenomistajille kuuluva osuus kauden laajasta tuloksesta</t>
  </si>
  <si>
    <t>+ sijoitusten arvotuserojen muutos laskennallisen verovelan vähentämisen jälkeen</t>
  </si>
  <si>
    <t>+ oma pääoma yhteensä</t>
  </si>
  <si>
    <t>+ sijoitusten arvostuserot laskennallisen verovelan vähentämisen jälkeen</t>
  </si>
  <si>
    <t>(vuoden alun ja raportointikauden lopun keskiarvo)</t>
  </si>
  <si>
    <t>Kokonaispääoman tuotto käyvin arvoin, % (RoA)</t>
  </si>
  <si>
    <t>Kokonaispääoman tuotto, kertoo paljonko yhtiö tuottaa korkoa omistajien siihen sijoittamalle kokonaispääomalle, johon lasketaan sekä yhtiön oma pääoma että velat. Tunnusluku voi vaihdella huomattavasti toimialan ja sidoksissa olevien varojen määrän mukaan, joten eri toimialojen kokonaispääomien tuoton vertailu ei ole välttämättä ole tarkoituksenmukaista.</t>
  </si>
  <si>
    <t>+ liikevoitto</t>
  </si>
  <si>
    <r>
      <t>+</t>
    </r>
    <r>
      <rPr>
        <sz val="12"/>
        <rFont val="Arial"/>
        <family val="2"/>
      </rPr>
      <t xml:space="preserve"> muut laajan tuloslaskelman erät ennen veroja</t>
    </r>
  </si>
  <si>
    <t>+ korko- ja muut rahoituskulut</t>
  </si>
  <si>
    <t>+ vastuuvelan perustekorko</t>
  </si>
  <si>
    <r>
      <t>+</t>
    </r>
    <r>
      <rPr>
        <sz val="12"/>
        <rFont val="Arial"/>
        <family val="2"/>
      </rPr>
      <t xml:space="preserve"> sijoitusten arvostuserojen muutos </t>
    </r>
  </si>
  <si>
    <t>+ taseen loppusumma</t>
  </si>
  <si>
    <t>-  sijoitussidonnaisten vakuutusten vastuuvelka</t>
  </si>
  <si>
    <r>
      <t>+</t>
    </r>
    <r>
      <rPr>
        <sz val="12"/>
        <rFont val="Arial"/>
        <family val="2"/>
      </rPr>
      <t xml:space="preserve"> sijoitusten arvostuserot</t>
    </r>
  </si>
  <si>
    <t>Omavaraisuusaste kertoo, miten suuri yhtiön omien varojen osuus on sen kaikista varoista.</t>
  </si>
  <si>
    <t>+ emoyhtiön omistajille kuuluva oma pääoma</t>
  </si>
  <si>
    <r>
      <t>+</t>
    </r>
    <r>
      <rPr>
        <sz val="12"/>
        <rFont val="Arial"/>
        <family val="2"/>
      </rPr>
      <t xml:space="preserve"> sijoitusten arvostuserot laskennallisen verovelan vähentämisen jälkeen</t>
    </r>
  </si>
  <si>
    <t xml:space="preserve">Underwriting-tulos kuvaa konsernin vahinkovakuutustoiminnan tuottavuutta. </t>
  </si>
  <si>
    <t>Velkaisuusaste kuvaa konsernin rahoitusvelkojen suhdetta rahoitusvelkojen ja oman pääoman summaan</t>
  </si>
  <si>
    <t>+ rahoitusvelat</t>
  </si>
  <si>
    <t>+ oma pääoma</t>
  </si>
  <si>
    <t>Vahinkovakuutus</t>
  </si>
  <si>
    <t>Vakuutusmaksutulo ennen jälleenvakuuttajien osuutta</t>
  </si>
  <si>
    <t>Tunnusluku tarjoaa hyödyllistä tietoa konsernin vakuutustoiminnan odotetuista tulevista vakuutusmaksutuotoista, sillä se pitää sisällään vakuutustuotteiden myynnistä kertyvät kokonaistuotot, maksusuunnitelmasta riippumatta.</t>
  </si>
  <si>
    <t>Vakuutusmaksutuotot on omalla vastuulla oleva vakuutusmaksutulo oikaistuna vakuutusmaksuvastuun muutoksella.</t>
  </si>
  <si>
    <t>+ omalla vastuulla olevat vakuutuusmaksutulo</t>
  </si>
  <si>
    <t>- vakuutusmaksuvastuun muutos</t>
  </si>
  <si>
    <t>Tunnusluku on korvauskulujen (pois lukien korvausten hoitokulut) suhde vakuutusmaksutuottoihin. Riskisuhde osoittaa, miten hyvin yhtiö on onnistunut vakuutusriskin hinnoittelussa. Mitä alempi yhtiön riskisuhde on, sitä parempi.</t>
  </si>
  <si>
    <t>+ korvauskulut</t>
  </si>
  <si>
    <t>- korvausten käsittelykulut</t>
  </si>
  <si>
    <t>+ vakuutusmaksutuotot</t>
  </si>
  <si>
    <t>Tunnusluku kertoo liikekulujen sekä korvausten hoitokulujen suhteen vakuutusmaksutuottoihin.</t>
  </si>
  <si>
    <t>+ liikekulut sekä korvausten käsittelykulut</t>
  </si>
  <si>
    <t>Tunnusluku kuvaa korvauskulujen suhdetta vakuutusmaksutuottoihin.</t>
  </si>
  <si>
    <t>+ korvauskulut sisälten korvausten käsittelykulut</t>
  </si>
  <si>
    <t>Tunnusluku kertoo liikekulujen suhteen vakuutusmaksutuotoihin.</t>
  </si>
  <si>
    <t>+ liikekulut</t>
  </si>
  <si>
    <t>Yksi vahinkovakuutustoiminnan keskeisimmistä tunnusluvuista kuvaamaan toimintojen tehokkuutta. Tunnusluku on vahinkosuhteen ja liikekulusuhteen yhteissumma. Suhdeluku alle 100 prosenttia kertoo positiivisesta underwriting-tuloksesta. Suhdeluvun ollessa yli 100 prosenttia on underwriting-tulos puolestaan negatiivinen.</t>
  </si>
  <si>
    <t>vahinkosuhde + liikekulusuhde</t>
  </si>
  <si>
    <t>Operatiivinen kulusuhde kuvaa Hastingsin toimintojen tehokkuutta. Vahinkovakuutus- ja broker-toiminnan kulut jaetaan vastaavilla tuotoilla. Suhdeluku alle 100 prosenttia kertoo positiivisesta underwriting-tuloksesta. Suhdeluvun ollessa yli 100 prosenttia on underwriting-tulos puolestaan negatiivinen.</t>
  </si>
  <si>
    <t>Henkivakuutus</t>
  </si>
  <si>
    <t>Henkivakuutuksen liikekulusuhde kuvaa henkivakuutustoimintojen tehokkuutta.</t>
  </si>
  <si>
    <t>+ kuormitustulo, henkivakuutus</t>
  </si>
  <si>
    <t>+liikevaihto, muut toiminnot</t>
  </si>
  <si>
    <t>Tunnusluku kertoo kuhunkin osakkeeseen kohdistuvan oman pääoman määrän.</t>
  </si>
  <si>
    <t>emoyhtiön osakkeenomistajille kuuluva oman pääoman osuus</t>
  </si>
  <si>
    <t>osakkeiden antioikaistu lukumäärä raportointihetkellä</t>
  </si>
  <si>
    <t>Samantyyppinen tunnusluku kuin osakekohtainen oma pääoma, mutta osakekohtaisessa substanssissa kaikki sijoitukset arvostetaan käypään arvoon. Jos osakekohtainen NAV on korkeampi kuin osakekurssi, markkinat eivät usko yhtiön kykyyn tuottaa sijoituksilleen voittoa ja toisinpäin.</t>
  </si>
  <si>
    <t>Markkina-arvo</t>
  </si>
  <si>
    <t>Yhtiön ulkona olevien osakkeiden markkina-arvo.</t>
  </si>
  <si>
    <t>ulkona olevien osakkeiden määrä raportointipäivänä * viimeinen kaupantekokurssi raportointipäivänä</t>
  </si>
  <si>
    <t>- asiakashyvitykset</t>
  </si>
  <si>
    <t>+ liikekulut, sis. korvausten käsittelykulut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</si>
</sst>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
    <numFmt numFmtId="165" formatCode="#,##0.000"/>
    <numFmt numFmtId="166" formatCode="#,##0.000000000"/>
    <numFmt numFmtId="167" formatCode="#,##0.0000000000"/>
    <numFmt numFmtId="168" formatCode="#,##0.00000000"/>
    <numFmt numFmtId="169" formatCode="#,##0.000000000000"/>
    <numFmt numFmtId="170" formatCode="#,##0.0000000000000"/>
    <numFmt numFmtId="171" formatCode="0.000E+00"/>
    <numFmt numFmtId="172" formatCode="0.0%"/>
  </numFmts>
  <fonts count="26"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sz val="11"/>
      <color theme="1"/>
      <name val="Calibri"/>
      <family val="2"/>
    </font>
    <font>
      <b/>
      <i/>
      <sz val="12"/>
      <name val="Arial"/>
      <family val="2"/>
    </font>
    <font>
      <b/>
      <sz val="13"/>
      <color rgb="FFFF0000"/>
      <name val="Arial"/>
      <family val="2"/>
    </font>
  </fonts>
  <fills count="4">
    <fill>
      <patternFill patternType="none"/>
    </fill>
    <fill>
      <patternFill patternType="gray125"/>
    </fill>
    <fill>
      <patternFill patternType="solid">
        <fgColor indexed="14"/>
        <bgColor indexed="64"/>
      </patternFill>
    </fill>
    <fill>
      <patternFill patternType="solid">
        <fgColor indexed="45"/>
        <bgColor indexed="64"/>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xf numFmtId="0" fontId="23" fillId="0" borderId="0"/>
  </cellStyleXfs>
  <cellXfs count="139">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4" fillId="0" borderId="0" xfId="0" applyFont="1" applyAlignment="1">
      <alignment horizontal="left" vertical="center" indent="8"/>
    </xf>
    <xf numFmtId="0" fontId="3" fillId="0" borderId="0" xfId="0" applyFont="1" applyAlignment="1">
      <alignment wrapText="1"/>
    </xf>
    <xf numFmtId="0" fontId="4" fillId="0" borderId="0" xfId="0" quotePrefix="1" applyFont="1"/>
    <xf numFmtId="0" fontId="4" fillId="0" borderId="1" xfId="0" quotePrefix="1" applyFont="1" applyBorder="1"/>
    <xf numFmtId="0" fontId="8" fillId="0" borderId="0" xfId="0" applyFont="1"/>
    <xf numFmtId="0" fontId="4" fillId="0" borderId="0" xfId="0" applyFont="1" applyAlignment="1">
      <alignment wrapText="1"/>
    </xf>
    <xf numFmtId="0" fontId="7" fillId="0" borderId="0" xfId="0" applyFont="1"/>
    <xf numFmtId="0" fontId="12" fillId="0" borderId="0" xfId="0" applyFont="1" applyAlignment="1">
      <alignment vertical="center"/>
    </xf>
    <xf numFmtId="0" fontId="12" fillId="0" borderId="0" xfId="0" applyFont="1" applyAlignment="1">
      <alignment wrapText="1"/>
    </xf>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0" fontId="11" fillId="0" borderId="0" xfId="2" quotePrefix="1" applyFont="1" applyFill="1" applyAlignment="1">
      <alignment horizontal="right"/>
    </xf>
    <xf numFmtId="0" fontId="13" fillId="0" borderId="0" xfId="2" applyFont="1" applyAlignment="1">
      <alignment wrapText="1"/>
    </xf>
    <xf numFmtId="169"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0"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1" fontId="5" fillId="0" borderId="0" xfId="2" applyNumberFormat="1" applyFont="1" applyFill="1"/>
    <xf numFmtId="3" fontId="11" fillId="3" borderId="0" xfId="2" applyNumberFormat="1" applyFont="1" applyFill="1"/>
    <xf numFmtId="0" fontId="17" fillId="0" borderId="0" xfId="2" applyFont="1" applyFill="1"/>
    <xf numFmtId="4" fontId="9" fillId="0" borderId="0" xfId="0" applyNumberFormat="1" applyFont="1" applyFill="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164" fontId="11" fillId="0" borderId="0" xfId="2" applyNumberFormat="1" applyFont="1" applyBorder="1"/>
    <xf numFmtId="0" fontId="5" fillId="0" borderId="1" xfId="2" applyFont="1" applyBorder="1"/>
    <xf numFmtId="0" fontId="13" fillId="0" borderId="1" xfId="2"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2" fontId="20" fillId="0" borderId="0" xfId="2" applyNumberFormat="1" applyFont="1"/>
    <xf numFmtId="3" fontId="5" fillId="0" borderId="1" xfId="2" applyNumberFormat="1" applyFont="1" applyFill="1" applyBorder="1" applyAlignment="1">
      <alignment horizontal="right"/>
    </xf>
    <xf numFmtId="164" fontId="11" fillId="0" borderId="0" xfId="5" applyNumberFormat="1" applyFont="1" applyFill="1" applyBorder="1"/>
    <xf numFmtId="0" fontId="11" fillId="0" borderId="0" xfId="2" applyFont="1" applyAlignment="1">
      <alignment horizontal="center"/>
    </xf>
    <xf numFmtId="164" fontId="11" fillId="0" borderId="0" xfId="2" applyNumberFormat="1" applyFont="1"/>
    <xf numFmtId="4" fontId="11" fillId="0" borderId="0" xfId="2" applyNumberFormat="1" applyFont="1" applyAlignment="1">
      <alignment horizontal="right"/>
    </xf>
    <xf numFmtId="4" fontId="5" fillId="0" borderId="0" xfId="2" applyNumberFormat="1" applyFont="1" applyAlignment="1">
      <alignment horizontal="right"/>
    </xf>
    <xf numFmtId="3" fontId="5" fillId="0" borderId="1" xfId="2" applyNumberFormat="1" applyFont="1" applyBorder="1" applyAlignment="1">
      <alignment horizontal="right"/>
    </xf>
    <xf numFmtId="164" fontId="11" fillId="0" borderId="0" xfId="5" applyNumberFormat="1" applyFont="1" applyBorder="1"/>
    <xf numFmtId="3" fontId="7" fillId="0" borderId="0" xfId="2" applyNumberFormat="1" applyFont="1"/>
    <xf numFmtId="0" fontId="11" fillId="2" borderId="0" xfId="2" applyFont="1" applyFill="1"/>
    <xf numFmtId="3" fontId="5" fillId="2" borderId="0" xfId="2" applyNumberFormat="1" applyFont="1" applyFill="1"/>
    <xf numFmtId="0" fontId="5" fillId="0" borderId="0" xfId="0" quotePrefix="1" applyFont="1" applyAlignment="1">
      <alignment wrapText="1"/>
    </xf>
    <xf numFmtId="0" fontId="0" fillId="0" borderId="0" xfId="0" applyAlignment="1">
      <alignment vertical="center"/>
    </xf>
    <xf numFmtId="172" fontId="11" fillId="0" borderId="0" xfId="5" applyNumberFormat="1" applyFont="1"/>
    <xf numFmtId="0" fontId="24" fillId="0" borderId="0" xfId="2" applyFont="1" applyFill="1"/>
    <xf numFmtId="164" fontId="11" fillId="0" borderId="0" xfId="2" quotePrefix="1" applyNumberFormat="1" applyFont="1" applyFill="1" applyAlignment="1">
      <alignment horizontal="right"/>
    </xf>
    <xf numFmtId="0" fontId="18" fillId="0" borderId="0" xfId="2" applyFont="1"/>
    <xf numFmtId="164" fontId="16" fillId="0" borderId="0" xfId="2" applyNumberFormat="1" applyFont="1"/>
    <xf numFmtId="0" fontId="5" fillId="0" borderId="1" xfId="0" quotePrefix="1" applyFont="1" applyBorder="1" applyAlignment="1">
      <alignment wrapText="1"/>
    </xf>
    <xf numFmtId="0" fontId="11" fillId="0" borderId="0" xfId="0" quotePrefix="1" applyFont="1" applyAlignment="1">
      <alignment wrapText="1"/>
    </xf>
    <xf numFmtId="164" fontId="5" fillId="0" borderId="0" xfId="2" quotePrefix="1" applyNumberFormat="1" applyFont="1"/>
    <xf numFmtId="0" fontId="20" fillId="0" borderId="0" xfId="2" applyFont="1"/>
    <xf numFmtId="0" fontId="10" fillId="0" borderId="0" xfId="2" applyFont="1"/>
    <xf numFmtId="0" fontId="16" fillId="0" borderId="0" xfId="2" applyFont="1"/>
    <xf numFmtId="0" fontId="5" fillId="0" borderId="0" xfId="2" applyFont="1" applyAlignment="1">
      <alignment wrapText="1"/>
    </xf>
    <xf numFmtId="0" fontId="5" fillId="0" borderId="0" xfId="2" applyFont="1" applyAlignment="1">
      <alignment horizontal="right"/>
    </xf>
    <xf numFmtId="3" fontId="5" fillId="0" borderId="0" xfId="2" applyNumberFormat="1" applyFont="1" applyAlignment="1">
      <alignment horizontal="right"/>
    </xf>
    <xf numFmtId="3" fontId="5" fillId="0" borderId="0" xfId="2" quotePrefix="1" applyNumberFormat="1" applyFont="1" applyAlignment="1">
      <alignment horizontal="right"/>
    </xf>
    <xf numFmtId="3" fontId="18" fillId="0" borderId="0" xfId="2" quotePrefix="1" applyNumberFormat="1" applyFont="1" applyAlignment="1">
      <alignment horizontal="right"/>
    </xf>
    <xf numFmtId="3" fontId="5" fillId="0" borderId="1" xfId="2" quotePrefix="1" applyNumberFormat="1" applyFont="1" applyBorder="1" applyAlignment="1">
      <alignment horizontal="right"/>
    </xf>
    <xf numFmtId="3" fontId="18" fillId="0" borderId="1" xfId="2" quotePrefix="1" applyNumberFormat="1" applyFont="1" applyBorder="1" applyAlignment="1">
      <alignment horizontal="right"/>
    </xf>
    <xf numFmtId="3" fontId="18" fillId="0" borderId="0" xfId="2" quotePrefix="1" applyNumberFormat="1" applyFont="1" applyBorder="1" applyAlignment="1">
      <alignment horizontal="right"/>
    </xf>
    <xf numFmtId="0" fontId="16" fillId="0" borderId="0" xfId="0" applyFont="1"/>
    <xf numFmtId="4" fontId="7" fillId="0" borderId="0" xfId="2" applyNumberFormat="1" applyFont="1" applyFill="1"/>
    <xf numFmtId="0" fontId="16" fillId="0" borderId="0" xfId="0" applyFont="1" applyAlignment="1">
      <alignment vertical="center"/>
    </xf>
    <xf numFmtId="0" fontId="5" fillId="0" borderId="1" xfId="0" quotePrefix="1" applyFont="1" applyBorder="1"/>
    <xf numFmtId="0" fontId="11" fillId="0" borderId="0" xfId="0" quotePrefix="1" applyFont="1"/>
    <xf numFmtId="0" fontId="5" fillId="0" borderId="0" xfId="0" applyFont="1"/>
    <xf numFmtId="0" fontId="5" fillId="0" borderId="0" xfId="0" quotePrefix="1" applyFont="1"/>
    <xf numFmtId="0" fontId="13" fillId="0" borderId="0" xfId="2" quotePrefix="1" applyFont="1" applyAlignment="1">
      <alignment wrapText="1"/>
    </xf>
    <xf numFmtId="0" fontId="6" fillId="0" borderId="0" xfId="0" quotePrefix="1" applyFont="1"/>
    <xf numFmtId="0" fontId="6" fillId="0" borderId="1" xfId="0" quotePrefix="1" applyFont="1" applyBorder="1"/>
    <xf numFmtId="0" fontId="25" fillId="0" borderId="0" xfId="0" applyFont="1"/>
    <xf numFmtId="0" fontId="11" fillId="0" borderId="0" xfId="0" applyFont="1" applyAlignment="1">
      <alignment vertical="center"/>
    </xf>
    <xf numFmtId="0" fontId="5" fillId="0" borderId="0" xfId="0" quotePrefix="1" applyFont="1" applyBorder="1"/>
    <xf numFmtId="0" fontId="4" fillId="0" borderId="0" xfId="0" applyFont="1" applyAlignment="1">
      <alignment wrapText="1"/>
    </xf>
    <xf numFmtId="0" fontId="0" fillId="0" borderId="0" xfId="0" applyAlignment="1">
      <alignment wrapText="1"/>
    </xf>
  </cellXfs>
  <cellStyles count="8">
    <cellStyle name="AFE" xfId="1" xr:uid="{00000000-0005-0000-0000-000000000000}"/>
    <cellStyle name="Normal" xfId="0" builtinId="0"/>
    <cellStyle name="Normal 2" xfId="2" xr:uid="{00000000-0005-0000-0000-000002000000}"/>
    <cellStyle name="Normal 3" xfId="6" xr:uid="{00000000-0005-0000-0000-000003000000}"/>
    <cellStyle name="Normal 4" xfId="7" xr:uid="{DB58DDA1-57D7-429F-AFE7-75F15EB0CE5F}"/>
    <cellStyle name="Normal 7" xfId="4" xr:uid="{00000000-0005-0000-0000-00000400000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DC19B-18E0-4169-B096-58223A3F9F6F}">
  <dimension ref="A2:J152"/>
  <sheetViews>
    <sheetView tabSelected="1" zoomScale="80" zoomScaleNormal="80" workbookViewId="0">
      <selection activeCell="F124" sqref="F124"/>
    </sheetView>
  </sheetViews>
  <sheetFormatPr defaultColWidth="11.42578125" defaultRowHeight="15" x14ac:dyDescent="0.2"/>
  <cols>
    <col min="1" max="1" width="115.140625" style="3" customWidth="1"/>
    <col min="2" max="2" width="10.42578125" style="3" customWidth="1"/>
    <col min="3" max="16384" width="11.42578125" style="3"/>
  </cols>
  <sheetData>
    <row r="2" spans="1:10" ht="18" x14ac:dyDescent="0.25">
      <c r="A2" s="1" t="s">
        <v>98</v>
      </c>
    </row>
    <row r="4" spans="1:10" ht="109.5" customHeight="1" x14ac:dyDescent="0.25">
      <c r="A4" s="10" t="s">
        <v>99</v>
      </c>
      <c r="C4" s="137"/>
      <c r="D4" s="138"/>
      <c r="E4" s="138"/>
      <c r="F4" s="138"/>
      <c r="G4" s="138"/>
      <c r="H4" s="138"/>
      <c r="I4" s="138"/>
      <c r="J4" s="138"/>
    </row>
    <row r="6" spans="1:10" ht="31.5" customHeight="1" x14ac:dyDescent="0.2">
      <c r="A6" s="10" t="s">
        <v>100</v>
      </c>
      <c r="B6" s="10"/>
      <c r="C6" s="10"/>
      <c r="D6" s="10"/>
      <c r="G6" s="3" t="s">
        <v>1</v>
      </c>
    </row>
    <row r="7" spans="1:10" ht="14.25" customHeight="1" x14ac:dyDescent="0.2"/>
    <row r="8" spans="1:10" ht="14.25" customHeight="1" x14ac:dyDescent="0.2"/>
    <row r="9" spans="1:10" ht="15.75" customHeight="1" x14ac:dyDescent="0.25">
      <c r="A9" s="9" t="s">
        <v>101</v>
      </c>
      <c r="B9" s="2"/>
    </row>
    <row r="11" spans="1:10" ht="16.5" x14ac:dyDescent="0.2">
      <c r="A11" s="12" t="s">
        <v>29</v>
      </c>
    </row>
    <row r="12" spans="1:10" ht="51" customHeight="1" x14ac:dyDescent="0.2">
      <c r="A12" s="10" t="s">
        <v>102</v>
      </c>
      <c r="B12" s="10"/>
      <c r="C12" s="10"/>
      <c r="D12" s="10"/>
    </row>
    <row r="13" spans="1:10" x14ac:dyDescent="0.2">
      <c r="A13" s="10"/>
    </row>
    <row r="14" spans="1:10" ht="15.75" x14ac:dyDescent="0.2">
      <c r="A14" s="4" t="s">
        <v>103</v>
      </c>
    </row>
    <row r="15" spans="1:10" x14ac:dyDescent="0.2">
      <c r="A15" s="131" t="s">
        <v>104</v>
      </c>
    </row>
    <row r="16" spans="1:10" x14ac:dyDescent="0.2">
      <c r="A16" s="127" t="s">
        <v>105</v>
      </c>
      <c r="B16" s="130" t="s">
        <v>0</v>
      </c>
    </row>
    <row r="17" spans="1:5" x14ac:dyDescent="0.2">
      <c r="A17" s="130" t="s">
        <v>106</v>
      </c>
      <c r="B17" s="5"/>
    </row>
    <row r="18" spans="1:5" x14ac:dyDescent="0.2">
      <c r="A18" s="130" t="s">
        <v>107</v>
      </c>
    </row>
    <row r="19" spans="1:5" x14ac:dyDescent="0.2">
      <c r="A19" s="130" t="s">
        <v>108</v>
      </c>
    </row>
    <row r="20" spans="1:5" x14ac:dyDescent="0.2">
      <c r="A20" s="130"/>
    </row>
    <row r="21" spans="1:5" ht="16.5" x14ac:dyDescent="0.2">
      <c r="A21" s="12" t="s">
        <v>109</v>
      </c>
    </row>
    <row r="22" spans="1:5" ht="63.75" customHeight="1" x14ac:dyDescent="0.2">
      <c r="A22" s="10" t="s">
        <v>110</v>
      </c>
      <c r="B22" s="10"/>
      <c r="C22" s="10"/>
      <c r="D22" s="10"/>
    </row>
    <row r="24" spans="1:5" ht="15.75" x14ac:dyDescent="0.2">
      <c r="A24" s="4" t="s">
        <v>103</v>
      </c>
    </row>
    <row r="25" spans="1:5" x14ac:dyDescent="0.2">
      <c r="A25" s="130" t="s">
        <v>111</v>
      </c>
    </row>
    <row r="26" spans="1:5" ht="18.75" customHeight="1" x14ac:dyDescent="0.2">
      <c r="A26" s="132" t="s">
        <v>112</v>
      </c>
    </row>
    <row r="27" spans="1:5" x14ac:dyDescent="0.2">
      <c r="A27" s="130" t="s">
        <v>113</v>
      </c>
    </row>
    <row r="28" spans="1:5" x14ac:dyDescent="0.2">
      <c r="A28" s="130" t="s">
        <v>114</v>
      </c>
    </row>
    <row r="29" spans="1:5" x14ac:dyDescent="0.2">
      <c r="A29" s="133" t="s">
        <v>115</v>
      </c>
      <c r="B29" s="130" t="s">
        <v>0</v>
      </c>
    </row>
    <row r="30" spans="1:5" x14ac:dyDescent="0.2">
      <c r="A30" s="130" t="s">
        <v>116</v>
      </c>
    </row>
    <row r="31" spans="1:5" x14ac:dyDescent="0.2">
      <c r="A31" s="130" t="s">
        <v>117</v>
      </c>
      <c r="E31" s="3" t="s">
        <v>1</v>
      </c>
    </row>
    <row r="32" spans="1:5" x14ac:dyDescent="0.2">
      <c r="A32" s="132" t="s">
        <v>118</v>
      </c>
    </row>
    <row r="33" spans="1:2" x14ac:dyDescent="0.2">
      <c r="A33" s="130" t="s">
        <v>108</v>
      </c>
    </row>
    <row r="34" spans="1:2" x14ac:dyDescent="0.2">
      <c r="A34" s="130"/>
    </row>
    <row r="35" spans="1:2" ht="16.5" x14ac:dyDescent="0.2">
      <c r="A35" s="12" t="s">
        <v>41</v>
      </c>
    </row>
    <row r="36" spans="1:2" x14ac:dyDescent="0.2">
      <c r="A36" s="10" t="s">
        <v>119</v>
      </c>
    </row>
    <row r="38" spans="1:2" ht="15.75" x14ac:dyDescent="0.2">
      <c r="A38" s="4" t="s">
        <v>103</v>
      </c>
    </row>
    <row r="39" spans="1:2" x14ac:dyDescent="0.2">
      <c r="A39" s="130" t="s">
        <v>120</v>
      </c>
    </row>
    <row r="40" spans="1:2" x14ac:dyDescent="0.2">
      <c r="A40" s="133" t="s">
        <v>121</v>
      </c>
      <c r="B40" s="130" t="s">
        <v>0</v>
      </c>
    </row>
    <row r="41" spans="1:2" x14ac:dyDescent="0.2">
      <c r="A41" s="130" t="s">
        <v>116</v>
      </c>
    </row>
    <row r="42" spans="1:2" x14ac:dyDescent="0.2">
      <c r="A42" s="132" t="s">
        <v>118</v>
      </c>
    </row>
    <row r="43" spans="1:2" x14ac:dyDescent="0.2">
      <c r="A43" s="132"/>
    </row>
    <row r="44" spans="1:2" ht="16.5" x14ac:dyDescent="0.2">
      <c r="A44" s="12" t="s">
        <v>45</v>
      </c>
    </row>
    <row r="45" spans="1:2" x14ac:dyDescent="0.2">
      <c r="A45" s="10" t="s">
        <v>122</v>
      </c>
    </row>
    <row r="46" spans="1:2" ht="15.75" x14ac:dyDescent="0.25">
      <c r="A46" s="95"/>
    </row>
    <row r="47" spans="1:2" x14ac:dyDescent="0.2">
      <c r="A47" s="103" t="s">
        <v>46</v>
      </c>
    </row>
    <row r="48" spans="1:2" x14ac:dyDescent="0.2">
      <c r="A48" s="103" t="s">
        <v>47</v>
      </c>
    </row>
    <row r="49" spans="1:2" x14ac:dyDescent="0.2">
      <c r="A49" s="103" t="s">
        <v>48</v>
      </c>
    </row>
    <row r="50" spans="1:2" x14ac:dyDescent="0.2">
      <c r="A50" s="110" t="s">
        <v>49</v>
      </c>
    </row>
    <row r="51" spans="1:2" ht="15.75" x14ac:dyDescent="0.25">
      <c r="A51" s="111" t="s">
        <v>50</v>
      </c>
    </row>
    <row r="52" spans="1:2" ht="15.75" x14ac:dyDescent="0.25">
      <c r="A52" s="111"/>
    </row>
    <row r="53" spans="1:2" ht="15.75" x14ac:dyDescent="0.25">
      <c r="A53" s="111" t="s">
        <v>55</v>
      </c>
    </row>
    <row r="54" spans="1:2" x14ac:dyDescent="0.2">
      <c r="A54" s="3" t="s">
        <v>123</v>
      </c>
      <c r="B54" s="130" t="s">
        <v>0</v>
      </c>
    </row>
    <row r="56" spans="1:2" ht="15.75" x14ac:dyDescent="0.2">
      <c r="A56" s="4" t="s">
        <v>103</v>
      </c>
    </row>
    <row r="57" spans="1:2" x14ac:dyDescent="0.2">
      <c r="A57" s="110" t="s">
        <v>124</v>
      </c>
    </row>
    <row r="58" spans="1:2" x14ac:dyDescent="0.2">
      <c r="A58" s="103" t="s">
        <v>124</v>
      </c>
    </row>
    <row r="59" spans="1:2" x14ac:dyDescent="0.2">
      <c r="A59" s="103" t="s">
        <v>125</v>
      </c>
    </row>
    <row r="60" spans="1:2" x14ac:dyDescent="0.2">
      <c r="A60" s="132"/>
    </row>
    <row r="62" spans="1:2" ht="16.5" x14ac:dyDescent="0.25">
      <c r="A62" s="9" t="s">
        <v>126</v>
      </c>
    </row>
    <row r="64" spans="1:2" ht="16.5" x14ac:dyDescent="0.25">
      <c r="A64" s="13" t="s">
        <v>127</v>
      </c>
    </row>
    <row r="65" spans="1:4" ht="45.75" customHeight="1" x14ac:dyDescent="0.2">
      <c r="A65" s="10" t="s">
        <v>128</v>
      </c>
      <c r="B65" s="10"/>
      <c r="C65" s="10"/>
      <c r="D65" s="10"/>
    </row>
    <row r="66" spans="1:4" x14ac:dyDescent="0.2">
      <c r="A66" s="132"/>
    </row>
    <row r="68" spans="1:4" ht="16.5" x14ac:dyDescent="0.25">
      <c r="A68" s="14" t="s">
        <v>56</v>
      </c>
    </row>
    <row r="69" spans="1:4" ht="28.5" customHeight="1" x14ac:dyDescent="0.2">
      <c r="A69" s="10" t="s">
        <v>129</v>
      </c>
      <c r="B69" s="10"/>
      <c r="C69" s="10"/>
      <c r="D69" s="10"/>
    </row>
    <row r="70" spans="1:4" x14ac:dyDescent="0.2">
      <c r="A70" s="10"/>
    </row>
    <row r="71" spans="1:4" ht="15.75" x14ac:dyDescent="0.2">
      <c r="A71" s="4" t="s">
        <v>103</v>
      </c>
    </row>
    <row r="72" spans="1:4" x14ac:dyDescent="0.2">
      <c r="A72" s="103" t="s">
        <v>130</v>
      </c>
    </row>
    <row r="73" spans="1:4" x14ac:dyDescent="0.2">
      <c r="A73" s="7" t="s">
        <v>131</v>
      </c>
    </row>
    <row r="74" spans="1:4" x14ac:dyDescent="0.2">
      <c r="A74" s="7"/>
    </row>
    <row r="75" spans="1:4" ht="16.5" x14ac:dyDescent="0.25">
      <c r="A75" s="14" t="s">
        <v>62</v>
      </c>
    </row>
    <row r="76" spans="1:4" ht="44.25" customHeight="1" x14ac:dyDescent="0.2">
      <c r="A76" s="10" t="s">
        <v>132</v>
      </c>
      <c r="B76" s="10"/>
      <c r="C76" s="10"/>
      <c r="D76" s="10"/>
    </row>
    <row r="78" spans="1:4" ht="15.75" x14ac:dyDescent="0.2">
      <c r="A78" s="4" t="s">
        <v>103</v>
      </c>
    </row>
    <row r="79" spans="1:4" x14ac:dyDescent="0.2">
      <c r="A79" s="7" t="s">
        <v>133</v>
      </c>
    </row>
    <row r="80" spans="1:4" x14ac:dyDescent="0.2">
      <c r="A80" s="8" t="s">
        <v>134</v>
      </c>
      <c r="B80" s="130" t="s">
        <v>0</v>
      </c>
    </row>
    <row r="81" spans="1:2" x14ac:dyDescent="0.2">
      <c r="A81" s="7" t="s">
        <v>135</v>
      </c>
    </row>
    <row r="82" spans="1:2" x14ac:dyDescent="0.2">
      <c r="A82" s="7"/>
    </row>
    <row r="83" spans="1:2" ht="16.5" x14ac:dyDescent="0.25">
      <c r="A83" s="14" t="s">
        <v>65</v>
      </c>
    </row>
    <row r="84" spans="1:2" x14ac:dyDescent="0.2">
      <c r="A84" s="3" t="s">
        <v>136</v>
      </c>
    </row>
    <row r="86" spans="1:2" ht="15.75" x14ac:dyDescent="0.2">
      <c r="A86" s="4" t="s">
        <v>103</v>
      </c>
    </row>
    <row r="87" spans="1:2" x14ac:dyDescent="0.2">
      <c r="A87" s="8" t="s">
        <v>137</v>
      </c>
      <c r="B87" s="130" t="s">
        <v>0</v>
      </c>
    </row>
    <row r="88" spans="1:2" x14ac:dyDescent="0.2">
      <c r="A88" s="7" t="s">
        <v>135</v>
      </c>
    </row>
    <row r="90" spans="1:2" ht="16.5" x14ac:dyDescent="0.25">
      <c r="A90" s="14" t="s">
        <v>68</v>
      </c>
    </row>
    <row r="91" spans="1:2" x14ac:dyDescent="0.2">
      <c r="A91" s="3" t="s">
        <v>138</v>
      </c>
    </row>
    <row r="93" spans="1:2" ht="15.75" x14ac:dyDescent="0.2">
      <c r="A93" s="4" t="s">
        <v>103</v>
      </c>
    </row>
    <row r="94" spans="1:2" x14ac:dyDescent="0.2">
      <c r="A94" s="8" t="s">
        <v>139</v>
      </c>
      <c r="B94" s="130" t="s">
        <v>0</v>
      </c>
    </row>
    <row r="95" spans="1:2" x14ac:dyDescent="0.2">
      <c r="A95" s="7" t="s">
        <v>135</v>
      </c>
    </row>
    <row r="96" spans="1:2" x14ac:dyDescent="0.2">
      <c r="A96" s="7"/>
    </row>
    <row r="97" spans="1:2" ht="16.5" x14ac:dyDescent="0.25">
      <c r="A97" s="14" t="s">
        <v>69</v>
      </c>
    </row>
    <row r="98" spans="1:2" ht="18" customHeight="1" x14ac:dyDescent="0.2">
      <c r="A98" s="3" t="s">
        <v>140</v>
      </c>
    </row>
    <row r="99" spans="1:2" ht="18" customHeight="1" x14ac:dyDescent="0.2"/>
    <row r="100" spans="1:2" ht="15.75" x14ac:dyDescent="0.2">
      <c r="A100" s="4" t="s">
        <v>103</v>
      </c>
    </row>
    <row r="101" spans="1:2" x14ac:dyDescent="0.2">
      <c r="A101" s="8" t="s">
        <v>141</v>
      </c>
      <c r="B101" s="130" t="s">
        <v>0</v>
      </c>
    </row>
    <row r="102" spans="1:2" x14ac:dyDescent="0.2">
      <c r="A102" s="7" t="s">
        <v>135</v>
      </c>
    </row>
    <row r="103" spans="1:2" x14ac:dyDescent="0.2">
      <c r="A103" s="7"/>
    </row>
    <row r="104" spans="1:2" ht="16.5" x14ac:dyDescent="0.25">
      <c r="A104" s="14" t="s">
        <v>51</v>
      </c>
    </row>
    <row r="105" spans="1:2" ht="45" x14ac:dyDescent="0.2">
      <c r="A105" s="10" t="s">
        <v>142</v>
      </c>
    </row>
    <row r="106" spans="1:2" x14ac:dyDescent="0.2">
      <c r="A106" s="10"/>
    </row>
    <row r="107" spans="1:2" ht="15.75" x14ac:dyDescent="0.2">
      <c r="A107" s="4" t="s">
        <v>103</v>
      </c>
    </row>
    <row r="108" spans="1:2" ht="15.75" customHeight="1" x14ac:dyDescent="0.2">
      <c r="A108" s="3" t="s">
        <v>143</v>
      </c>
    </row>
    <row r="109" spans="1:2" ht="15.75" customHeight="1" x14ac:dyDescent="0.2"/>
    <row r="110" spans="1:2" ht="15.75" customHeight="1" x14ac:dyDescent="0.25">
      <c r="A110" s="14" t="s">
        <v>75</v>
      </c>
    </row>
    <row r="111" spans="1:2" ht="45" x14ac:dyDescent="0.2">
      <c r="A111" s="10" t="s">
        <v>144</v>
      </c>
    </row>
    <row r="112" spans="1:2" ht="15.75" customHeight="1" x14ac:dyDescent="0.2">
      <c r="A112" s="18"/>
    </row>
    <row r="113" spans="1:2" ht="15.75" customHeight="1" x14ac:dyDescent="0.2">
      <c r="A113" s="7" t="s">
        <v>63</v>
      </c>
    </row>
    <row r="114" spans="1:2" ht="15.75" customHeight="1" x14ac:dyDescent="0.2">
      <c r="A114" s="7" t="s">
        <v>76</v>
      </c>
    </row>
    <row r="115" spans="1:2" ht="15.75" customHeight="1" x14ac:dyDescent="0.2">
      <c r="A115" s="7" t="s">
        <v>77</v>
      </c>
    </row>
    <row r="116" spans="1:2" ht="15.75" customHeight="1" x14ac:dyDescent="0.2">
      <c r="A116" s="8" t="s">
        <v>78</v>
      </c>
      <c r="B116" s="130" t="s">
        <v>0</v>
      </c>
    </row>
    <row r="117" spans="1:2" ht="15.75" customHeight="1" x14ac:dyDescent="0.2">
      <c r="A117" s="7" t="s">
        <v>46</v>
      </c>
    </row>
    <row r="118" spans="1:2" ht="15.75" customHeight="1" x14ac:dyDescent="0.2">
      <c r="A118" s="7" t="s">
        <v>79</v>
      </c>
    </row>
    <row r="119" spans="1:2" ht="15.75" customHeight="1" x14ac:dyDescent="0.2"/>
    <row r="120" spans="1:2" ht="15.75" customHeight="1" x14ac:dyDescent="0.2"/>
    <row r="121" spans="1:2" ht="16.5" x14ac:dyDescent="0.25">
      <c r="A121" s="9" t="s">
        <v>145</v>
      </c>
    </row>
    <row r="123" spans="1:2" ht="16.5" x14ac:dyDescent="0.25">
      <c r="A123" s="14" t="s">
        <v>81</v>
      </c>
    </row>
    <row r="124" spans="1:2" x14ac:dyDescent="0.2">
      <c r="A124" s="55" t="s">
        <v>146</v>
      </c>
    </row>
    <row r="125" spans="1:2" ht="16.5" x14ac:dyDescent="0.25">
      <c r="A125" s="134"/>
    </row>
    <row r="126" spans="1:2" ht="15.75" x14ac:dyDescent="0.2">
      <c r="A126" s="135" t="s">
        <v>103</v>
      </c>
    </row>
    <row r="127" spans="1:2" x14ac:dyDescent="0.2">
      <c r="A127" s="127" t="s">
        <v>157</v>
      </c>
      <c r="B127" s="130" t="s">
        <v>0</v>
      </c>
    </row>
    <row r="128" spans="1:2" x14ac:dyDescent="0.2">
      <c r="A128" s="130" t="s">
        <v>147</v>
      </c>
    </row>
    <row r="129" spans="1:2" x14ac:dyDescent="0.2">
      <c r="A129" s="136" t="s">
        <v>148</v>
      </c>
      <c r="B129" s="130"/>
    </row>
    <row r="130" spans="1:2" x14ac:dyDescent="0.2">
      <c r="A130" s="136" t="s">
        <v>156</v>
      </c>
    </row>
    <row r="131" spans="1:2" ht="16.5" x14ac:dyDescent="0.25">
      <c r="A131" s="14" t="s">
        <v>81</v>
      </c>
    </row>
    <row r="132" spans="1:2" x14ac:dyDescent="0.2">
      <c r="A132" s="11"/>
    </row>
    <row r="134" spans="1:2" ht="16.5" x14ac:dyDescent="0.25">
      <c r="A134" s="9" t="s">
        <v>86</v>
      </c>
    </row>
    <row r="135" spans="1:2" ht="16.5" x14ac:dyDescent="0.25">
      <c r="A135" s="14"/>
    </row>
    <row r="136" spans="1:2" ht="16.5" x14ac:dyDescent="0.25">
      <c r="A136" s="14" t="s">
        <v>87</v>
      </c>
    </row>
    <row r="137" spans="1:2" x14ac:dyDescent="0.2">
      <c r="A137" s="10" t="s">
        <v>149</v>
      </c>
    </row>
    <row r="138" spans="1:2" ht="16.5" x14ac:dyDescent="0.25">
      <c r="A138" s="14"/>
    </row>
    <row r="139" spans="1:2" ht="15.75" x14ac:dyDescent="0.2">
      <c r="A139" s="4" t="s">
        <v>103</v>
      </c>
    </row>
    <row r="140" spans="1:2" x14ac:dyDescent="0.2">
      <c r="A140" s="76" t="s">
        <v>150</v>
      </c>
    </row>
    <row r="141" spans="1:2" x14ac:dyDescent="0.2">
      <c r="A141" s="77" t="s">
        <v>151</v>
      </c>
    </row>
    <row r="142" spans="1:2" ht="15.75" x14ac:dyDescent="0.25">
      <c r="A142" s="6"/>
    </row>
    <row r="143" spans="1:2" x14ac:dyDescent="0.2">
      <c r="A143" s="10"/>
    </row>
    <row r="144" spans="1:2" ht="16.5" x14ac:dyDescent="0.25">
      <c r="A144" s="14" t="s">
        <v>90</v>
      </c>
    </row>
    <row r="145" spans="1:1" ht="45" x14ac:dyDescent="0.2">
      <c r="A145" s="10" t="s">
        <v>152</v>
      </c>
    </row>
    <row r="146" spans="1:1" x14ac:dyDescent="0.2">
      <c r="A146" s="11"/>
    </row>
    <row r="147" spans="1:1" x14ac:dyDescent="0.2">
      <c r="A147" s="11"/>
    </row>
    <row r="148" spans="1:1" ht="16.5" x14ac:dyDescent="0.25">
      <c r="A148" s="14" t="s">
        <v>153</v>
      </c>
    </row>
    <row r="149" spans="1:1" x14ac:dyDescent="0.2">
      <c r="A149" s="10" t="s">
        <v>154</v>
      </c>
    </row>
    <row r="151" spans="1:1" ht="15.75" x14ac:dyDescent="0.2">
      <c r="A151" s="4" t="s">
        <v>103</v>
      </c>
    </row>
    <row r="152" spans="1:1" x14ac:dyDescent="0.2">
      <c r="A152" s="3" t="s">
        <v>155</v>
      </c>
    </row>
  </sheetData>
  <mergeCells count="1">
    <mergeCell ref="C4:J4"/>
  </mergeCells>
  <pageMargins left="0.25" right="0.25" top="0.75" bottom="0.75" header="0.3" footer="0.3"/>
  <pageSetup paperSize="9" scale="77" orientation="portrait" r:id="rId1"/>
  <rowBreaks count="2" manualBreakCount="2">
    <brk id="61" max="1" man="1"/>
    <brk id="120"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6"/>
  <sheetViews>
    <sheetView zoomScale="58" zoomScaleNormal="100" workbookViewId="0"/>
  </sheetViews>
  <sheetFormatPr defaultRowHeight="15" x14ac:dyDescent="0.2"/>
  <cols>
    <col min="1" max="1" width="69.42578125" style="18" customWidth="1"/>
    <col min="2" max="4" width="17.42578125" style="18" customWidth="1"/>
    <col min="5" max="5" width="18" style="18" customWidth="1"/>
    <col min="6" max="6" width="18" style="18" hidden="1" customWidth="1"/>
    <col min="7" max="7" width="32.42578125" style="17" customWidth="1"/>
    <col min="8" max="8" width="4" style="17" customWidth="1"/>
    <col min="9" max="9" width="19.5703125" style="17" customWidth="1"/>
    <col min="10" max="10" width="19.28515625" style="18" customWidth="1"/>
    <col min="11" max="11" width="15.5703125" style="18" customWidth="1"/>
    <col min="12" max="12" width="20.85546875" style="18" customWidth="1"/>
    <col min="13" max="14" width="8.7109375" style="18"/>
    <col min="15" max="15" width="14.42578125" style="18" customWidth="1"/>
    <col min="16" max="16" width="19.42578125" style="18" customWidth="1"/>
    <col min="17" max="259" width="8.7109375" style="18"/>
    <col min="260" max="260" width="40.42578125" style="18" customWidth="1"/>
    <col min="261" max="262" width="18.42578125" style="18" customWidth="1"/>
    <col min="263" max="263" width="32.42578125" style="18" customWidth="1"/>
    <col min="264" max="264" width="4" style="18" customWidth="1"/>
    <col min="265" max="265" width="19.5703125" style="18" customWidth="1"/>
    <col min="266" max="266" width="16.5703125" style="18" customWidth="1"/>
    <col min="267" max="267" width="15.5703125" style="18" customWidth="1"/>
    <col min="268" max="268" width="20.85546875" style="18" customWidth="1"/>
    <col min="269" max="270" width="8.7109375" style="18"/>
    <col min="271" max="271" width="14.42578125" style="18" customWidth="1"/>
    <col min="272" max="272" width="19.42578125" style="18" customWidth="1"/>
    <col min="273" max="515" width="8.7109375" style="18"/>
    <col min="516" max="516" width="40.42578125" style="18" customWidth="1"/>
    <col min="517" max="518" width="18.42578125" style="18" customWidth="1"/>
    <col min="519" max="519" width="32.42578125" style="18" customWidth="1"/>
    <col min="520" max="520" width="4" style="18" customWidth="1"/>
    <col min="521" max="521" width="19.5703125" style="18" customWidth="1"/>
    <col min="522" max="522" width="16.5703125" style="18" customWidth="1"/>
    <col min="523" max="523" width="15.5703125" style="18" customWidth="1"/>
    <col min="524" max="524" width="20.85546875" style="18" customWidth="1"/>
    <col min="525" max="526" width="8.7109375" style="18"/>
    <col min="527" max="527" width="14.42578125" style="18" customWidth="1"/>
    <col min="528" max="528" width="19.42578125" style="18" customWidth="1"/>
    <col min="529" max="771" width="8.7109375" style="18"/>
    <col min="772" max="772" width="40.42578125" style="18" customWidth="1"/>
    <col min="773" max="774" width="18.42578125" style="18" customWidth="1"/>
    <col min="775" max="775" width="32.42578125" style="18" customWidth="1"/>
    <col min="776" max="776" width="4" style="18" customWidth="1"/>
    <col min="777" max="777" width="19.5703125" style="18" customWidth="1"/>
    <col min="778" max="778" width="16.5703125" style="18" customWidth="1"/>
    <col min="779" max="779" width="15.5703125" style="18" customWidth="1"/>
    <col min="780" max="780" width="20.85546875" style="18" customWidth="1"/>
    <col min="781" max="782" width="8.7109375" style="18"/>
    <col min="783" max="783" width="14.42578125" style="18" customWidth="1"/>
    <col min="784" max="784" width="19.42578125" style="18" customWidth="1"/>
    <col min="785" max="1027" width="8.7109375" style="18"/>
    <col min="1028" max="1028" width="40.42578125" style="18" customWidth="1"/>
    <col min="1029" max="1030" width="18.42578125" style="18" customWidth="1"/>
    <col min="1031" max="1031" width="32.42578125" style="18" customWidth="1"/>
    <col min="1032" max="1032" width="4" style="18" customWidth="1"/>
    <col min="1033" max="1033" width="19.5703125" style="18" customWidth="1"/>
    <col min="1034" max="1034" width="16.5703125" style="18" customWidth="1"/>
    <col min="1035" max="1035" width="15.5703125" style="18" customWidth="1"/>
    <col min="1036" max="1036" width="20.85546875" style="18" customWidth="1"/>
    <col min="1037" max="1038" width="8.7109375" style="18"/>
    <col min="1039" max="1039" width="14.42578125" style="18" customWidth="1"/>
    <col min="1040" max="1040" width="19.42578125" style="18" customWidth="1"/>
    <col min="1041" max="1283" width="8.7109375" style="18"/>
    <col min="1284" max="1284" width="40.42578125" style="18" customWidth="1"/>
    <col min="1285" max="1286" width="18.42578125" style="18" customWidth="1"/>
    <col min="1287" max="1287" width="32.42578125" style="18" customWidth="1"/>
    <col min="1288" max="1288" width="4" style="18" customWidth="1"/>
    <col min="1289" max="1289" width="19.5703125" style="18" customWidth="1"/>
    <col min="1290" max="1290" width="16.5703125" style="18" customWidth="1"/>
    <col min="1291" max="1291" width="15.5703125" style="18" customWidth="1"/>
    <col min="1292" max="1292" width="20.85546875" style="18" customWidth="1"/>
    <col min="1293" max="1294" width="8.7109375" style="18"/>
    <col min="1295" max="1295" width="14.42578125" style="18" customWidth="1"/>
    <col min="1296" max="1296" width="19.42578125" style="18" customWidth="1"/>
    <col min="1297" max="1539" width="8.7109375" style="18"/>
    <col min="1540" max="1540" width="40.42578125" style="18" customWidth="1"/>
    <col min="1541" max="1542" width="18.42578125" style="18" customWidth="1"/>
    <col min="1543" max="1543" width="32.42578125" style="18" customWidth="1"/>
    <col min="1544" max="1544" width="4" style="18" customWidth="1"/>
    <col min="1545" max="1545" width="19.5703125" style="18" customWidth="1"/>
    <col min="1546" max="1546" width="16.5703125" style="18" customWidth="1"/>
    <col min="1547" max="1547" width="15.5703125" style="18" customWidth="1"/>
    <col min="1548" max="1548" width="20.85546875" style="18" customWidth="1"/>
    <col min="1549" max="1550" width="8.7109375" style="18"/>
    <col min="1551" max="1551" width="14.42578125" style="18" customWidth="1"/>
    <col min="1552" max="1552" width="19.42578125" style="18" customWidth="1"/>
    <col min="1553" max="1795" width="8.7109375" style="18"/>
    <col min="1796" max="1796" width="40.42578125" style="18" customWidth="1"/>
    <col min="1797" max="1798" width="18.42578125" style="18" customWidth="1"/>
    <col min="1799" max="1799" width="32.42578125" style="18" customWidth="1"/>
    <col min="1800" max="1800" width="4" style="18" customWidth="1"/>
    <col min="1801" max="1801" width="19.5703125" style="18" customWidth="1"/>
    <col min="1802" max="1802" width="16.5703125" style="18" customWidth="1"/>
    <col min="1803" max="1803" width="15.5703125" style="18" customWidth="1"/>
    <col min="1804" max="1804" width="20.85546875" style="18" customWidth="1"/>
    <col min="1805" max="1806" width="8.7109375" style="18"/>
    <col min="1807" max="1807" width="14.42578125" style="18" customWidth="1"/>
    <col min="1808" max="1808" width="19.42578125" style="18" customWidth="1"/>
    <col min="1809" max="2051" width="8.7109375" style="18"/>
    <col min="2052" max="2052" width="40.42578125" style="18" customWidth="1"/>
    <col min="2053" max="2054" width="18.42578125" style="18" customWidth="1"/>
    <col min="2055" max="2055" width="32.42578125" style="18" customWidth="1"/>
    <col min="2056" max="2056" width="4" style="18" customWidth="1"/>
    <col min="2057" max="2057" width="19.5703125" style="18" customWidth="1"/>
    <col min="2058" max="2058" width="16.5703125" style="18" customWidth="1"/>
    <col min="2059" max="2059" width="15.5703125" style="18" customWidth="1"/>
    <col min="2060" max="2060" width="20.85546875" style="18" customWidth="1"/>
    <col min="2061" max="2062" width="8.7109375" style="18"/>
    <col min="2063" max="2063" width="14.42578125" style="18" customWidth="1"/>
    <col min="2064" max="2064" width="19.42578125" style="18" customWidth="1"/>
    <col min="2065" max="2307" width="8.7109375" style="18"/>
    <col min="2308" max="2308" width="40.42578125" style="18" customWidth="1"/>
    <col min="2309" max="2310" width="18.42578125" style="18" customWidth="1"/>
    <col min="2311" max="2311" width="32.42578125" style="18" customWidth="1"/>
    <col min="2312" max="2312" width="4" style="18" customWidth="1"/>
    <col min="2313" max="2313" width="19.5703125" style="18" customWidth="1"/>
    <col min="2314" max="2314" width="16.5703125" style="18" customWidth="1"/>
    <col min="2315" max="2315" width="15.5703125" style="18" customWidth="1"/>
    <col min="2316" max="2316" width="20.85546875" style="18" customWidth="1"/>
    <col min="2317" max="2318" width="8.7109375" style="18"/>
    <col min="2319" max="2319" width="14.42578125" style="18" customWidth="1"/>
    <col min="2320" max="2320" width="19.42578125" style="18" customWidth="1"/>
    <col min="2321" max="2563" width="8.7109375" style="18"/>
    <col min="2564" max="2564" width="40.42578125" style="18" customWidth="1"/>
    <col min="2565" max="2566" width="18.42578125" style="18" customWidth="1"/>
    <col min="2567" max="2567" width="32.42578125" style="18" customWidth="1"/>
    <col min="2568" max="2568" width="4" style="18" customWidth="1"/>
    <col min="2569" max="2569" width="19.5703125" style="18" customWidth="1"/>
    <col min="2570" max="2570" width="16.5703125" style="18" customWidth="1"/>
    <col min="2571" max="2571" width="15.5703125" style="18" customWidth="1"/>
    <col min="2572" max="2572" width="20.85546875" style="18" customWidth="1"/>
    <col min="2573" max="2574" width="8.7109375" style="18"/>
    <col min="2575" max="2575" width="14.42578125" style="18" customWidth="1"/>
    <col min="2576" max="2576" width="19.42578125" style="18" customWidth="1"/>
    <col min="2577" max="2819" width="8.7109375" style="18"/>
    <col min="2820" max="2820" width="40.42578125" style="18" customWidth="1"/>
    <col min="2821" max="2822" width="18.42578125" style="18" customWidth="1"/>
    <col min="2823" max="2823" width="32.42578125" style="18" customWidth="1"/>
    <col min="2824" max="2824" width="4" style="18" customWidth="1"/>
    <col min="2825" max="2825" width="19.5703125" style="18" customWidth="1"/>
    <col min="2826" max="2826" width="16.5703125" style="18" customWidth="1"/>
    <col min="2827" max="2827" width="15.5703125" style="18" customWidth="1"/>
    <col min="2828" max="2828" width="20.85546875" style="18" customWidth="1"/>
    <col min="2829" max="2830" width="8.7109375" style="18"/>
    <col min="2831" max="2831" width="14.42578125" style="18" customWidth="1"/>
    <col min="2832" max="2832" width="19.42578125" style="18" customWidth="1"/>
    <col min="2833" max="3075" width="8.7109375" style="18"/>
    <col min="3076" max="3076" width="40.42578125" style="18" customWidth="1"/>
    <col min="3077" max="3078" width="18.42578125" style="18" customWidth="1"/>
    <col min="3079" max="3079" width="32.42578125" style="18" customWidth="1"/>
    <col min="3080" max="3080" width="4" style="18" customWidth="1"/>
    <col min="3081" max="3081" width="19.5703125" style="18" customWidth="1"/>
    <col min="3082" max="3082" width="16.5703125" style="18" customWidth="1"/>
    <col min="3083" max="3083" width="15.5703125" style="18" customWidth="1"/>
    <col min="3084" max="3084" width="20.85546875" style="18" customWidth="1"/>
    <col min="3085" max="3086" width="8.7109375" style="18"/>
    <col min="3087" max="3087" width="14.42578125" style="18" customWidth="1"/>
    <col min="3088" max="3088" width="19.42578125" style="18" customWidth="1"/>
    <col min="3089" max="3331" width="8.7109375" style="18"/>
    <col min="3332" max="3332" width="40.42578125" style="18" customWidth="1"/>
    <col min="3333" max="3334" width="18.42578125" style="18" customWidth="1"/>
    <col min="3335" max="3335" width="32.42578125" style="18" customWidth="1"/>
    <col min="3336" max="3336" width="4" style="18" customWidth="1"/>
    <col min="3337" max="3337" width="19.5703125" style="18" customWidth="1"/>
    <col min="3338" max="3338" width="16.5703125" style="18" customWidth="1"/>
    <col min="3339" max="3339" width="15.5703125" style="18" customWidth="1"/>
    <col min="3340" max="3340" width="20.85546875" style="18" customWidth="1"/>
    <col min="3341" max="3342" width="8.7109375" style="18"/>
    <col min="3343" max="3343" width="14.42578125" style="18" customWidth="1"/>
    <col min="3344" max="3344" width="19.42578125" style="18" customWidth="1"/>
    <col min="3345" max="3587" width="8.7109375" style="18"/>
    <col min="3588" max="3588" width="40.42578125" style="18" customWidth="1"/>
    <col min="3589" max="3590" width="18.42578125" style="18" customWidth="1"/>
    <col min="3591" max="3591" width="32.42578125" style="18" customWidth="1"/>
    <col min="3592" max="3592" width="4" style="18" customWidth="1"/>
    <col min="3593" max="3593" width="19.5703125" style="18" customWidth="1"/>
    <col min="3594" max="3594" width="16.5703125" style="18" customWidth="1"/>
    <col min="3595" max="3595" width="15.5703125" style="18" customWidth="1"/>
    <col min="3596" max="3596" width="20.85546875" style="18" customWidth="1"/>
    <col min="3597" max="3598" width="8.7109375" style="18"/>
    <col min="3599" max="3599" width="14.42578125" style="18" customWidth="1"/>
    <col min="3600" max="3600" width="19.42578125" style="18" customWidth="1"/>
    <col min="3601" max="3843" width="8.7109375" style="18"/>
    <col min="3844" max="3844" width="40.42578125" style="18" customWidth="1"/>
    <col min="3845" max="3846" width="18.42578125" style="18" customWidth="1"/>
    <col min="3847" max="3847" width="32.42578125" style="18" customWidth="1"/>
    <col min="3848" max="3848" width="4" style="18" customWidth="1"/>
    <col min="3849" max="3849" width="19.5703125" style="18" customWidth="1"/>
    <col min="3850" max="3850" width="16.5703125" style="18" customWidth="1"/>
    <col min="3851" max="3851" width="15.5703125" style="18" customWidth="1"/>
    <col min="3852" max="3852" width="20.85546875" style="18" customWidth="1"/>
    <col min="3853" max="3854" width="8.7109375" style="18"/>
    <col min="3855" max="3855" width="14.42578125" style="18" customWidth="1"/>
    <col min="3856" max="3856" width="19.42578125" style="18" customWidth="1"/>
    <col min="3857" max="4099" width="8.7109375" style="18"/>
    <col min="4100" max="4100" width="40.42578125" style="18" customWidth="1"/>
    <col min="4101" max="4102" width="18.42578125" style="18" customWidth="1"/>
    <col min="4103" max="4103" width="32.42578125" style="18" customWidth="1"/>
    <col min="4104" max="4104" width="4" style="18" customWidth="1"/>
    <col min="4105" max="4105" width="19.5703125" style="18" customWidth="1"/>
    <col min="4106" max="4106" width="16.5703125" style="18" customWidth="1"/>
    <col min="4107" max="4107" width="15.5703125" style="18" customWidth="1"/>
    <col min="4108" max="4108" width="20.85546875" style="18" customWidth="1"/>
    <col min="4109" max="4110" width="8.7109375" style="18"/>
    <col min="4111" max="4111" width="14.42578125" style="18" customWidth="1"/>
    <col min="4112" max="4112" width="19.42578125" style="18" customWidth="1"/>
    <col min="4113" max="4355" width="8.7109375" style="18"/>
    <col min="4356" max="4356" width="40.42578125" style="18" customWidth="1"/>
    <col min="4357" max="4358" width="18.42578125" style="18" customWidth="1"/>
    <col min="4359" max="4359" width="32.42578125" style="18" customWidth="1"/>
    <col min="4360" max="4360" width="4" style="18" customWidth="1"/>
    <col min="4361" max="4361" width="19.5703125" style="18" customWidth="1"/>
    <col min="4362" max="4362" width="16.5703125" style="18" customWidth="1"/>
    <col min="4363" max="4363" width="15.5703125" style="18" customWidth="1"/>
    <col min="4364" max="4364" width="20.85546875" style="18" customWidth="1"/>
    <col min="4365" max="4366" width="8.7109375" style="18"/>
    <col min="4367" max="4367" width="14.42578125" style="18" customWidth="1"/>
    <col min="4368" max="4368" width="19.42578125" style="18" customWidth="1"/>
    <col min="4369" max="4611" width="8.7109375" style="18"/>
    <col min="4612" max="4612" width="40.42578125" style="18" customWidth="1"/>
    <col min="4613" max="4614" width="18.42578125" style="18" customWidth="1"/>
    <col min="4615" max="4615" width="32.42578125" style="18" customWidth="1"/>
    <col min="4616" max="4616" width="4" style="18" customWidth="1"/>
    <col min="4617" max="4617" width="19.5703125" style="18" customWidth="1"/>
    <col min="4618" max="4618" width="16.5703125" style="18" customWidth="1"/>
    <col min="4619" max="4619" width="15.5703125" style="18" customWidth="1"/>
    <col min="4620" max="4620" width="20.85546875" style="18" customWidth="1"/>
    <col min="4621" max="4622" width="8.7109375" style="18"/>
    <col min="4623" max="4623" width="14.42578125" style="18" customWidth="1"/>
    <col min="4624" max="4624" width="19.42578125" style="18" customWidth="1"/>
    <col min="4625" max="4867" width="8.7109375" style="18"/>
    <col min="4868" max="4868" width="40.42578125" style="18" customWidth="1"/>
    <col min="4869" max="4870" width="18.42578125" style="18" customWidth="1"/>
    <col min="4871" max="4871" width="32.42578125" style="18" customWidth="1"/>
    <col min="4872" max="4872" width="4" style="18" customWidth="1"/>
    <col min="4873" max="4873" width="19.5703125" style="18" customWidth="1"/>
    <col min="4874" max="4874" width="16.5703125" style="18" customWidth="1"/>
    <col min="4875" max="4875" width="15.5703125" style="18" customWidth="1"/>
    <col min="4876" max="4876" width="20.85546875" style="18" customWidth="1"/>
    <col min="4877" max="4878" width="8.7109375" style="18"/>
    <col min="4879" max="4879" width="14.42578125" style="18" customWidth="1"/>
    <col min="4880" max="4880" width="19.42578125" style="18" customWidth="1"/>
    <col min="4881" max="5123" width="8.7109375" style="18"/>
    <col min="5124" max="5124" width="40.42578125" style="18" customWidth="1"/>
    <col min="5125" max="5126" width="18.42578125" style="18" customWidth="1"/>
    <col min="5127" max="5127" width="32.42578125" style="18" customWidth="1"/>
    <col min="5128" max="5128" width="4" style="18" customWidth="1"/>
    <col min="5129" max="5129" width="19.5703125" style="18" customWidth="1"/>
    <col min="5130" max="5130" width="16.5703125" style="18" customWidth="1"/>
    <col min="5131" max="5131" width="15.5703125" style="18" customWidth="1"/>
    <col min="5132" max="5132" width="20.85546875" style="18" customWidth="1"/>
    <col min="5133" max="5134" width="8.7109375" style="18"/>
    <col min="5135" max="5135" width="14.42578125" style="18" customWidth="1"/>
    <col min="5136" max="5136" width="19.42578125" style="18" customWidth="1"/>
    <col min="5137" max="5379" width="8.7109375" style="18"/>
    <col min="5380" max="5380" width="40.42578125" style="18" customWidth="1"/>
    <col min="5381" max="5382" width="18.42578125" style="18" customWidth="1"/>
    <col min="5383" max="5383" width="32.42578125" style="18" customWidth="1"/>
    <col min="5384" max="5384" width="4" style="18" customWidth="1"/>
    <col min="5385" max="5385" width="19.5703125" style="18" customWidth="1"/>
    <col min="5386" max="5386" width="16.5703125" style="18" customWidth="1"/>
    <col min="5387" max="5387" width="15.5703125" style="18" customWidth="1"/>
    <col min="5388" max="5388" width="20.85546875" style="18" customWidth="1"/>
    <col min="5389" max="5390" width="8.7109375" style="18"/>
    <col min="5391" max="5391" width="14.42578125" style="18" customWidth="1"/>
    <col min="5392" max="5392" width="19.42578125" style="18" customWidth="1"/>
    <col min="5393" max="5635" width="8.7109375" style="18"/>
    <col min="5636" max="5636" width="40.42578125" style="18" customWidth="1"/>
    <col min="5637" max="5638" width="18.42578125" style="18" customWidth="1"/>
    <col min="5639" max="5639" width="32.42578125" style="18" customWidth="1"/>
    <col min="5640" max="5640" width="4" style="18" customWidth="1"/>
    <col min="5641" max="5641" width="19.5703125" style="18" customWidth="1"/>
    <col min="5642" max="5642" width="16.5703125" style="18" customWidth="1"/>
    <col min="5643" max="5643" width="15.5703125" style="18" customWidth="1"/>
    <col min="5644" max="5644" width="20.85546875" style="18" customWidth="1"/>
    <col min="5645" max="5646" width="8.7109375" style="18"/>
    <col min="5647" max="5647" width="14.42578125" style="18" customWidth="1"/>
    <col min="5648" max="5648" width="19.42578125" style="18" customWidth="1"/>
    <col min="5649" max="5891" width="8.7109375" style="18"/>
    <col min="5892" max="5892" width="40.42578125" style="18" customWidth="1"/>
    <col min="5893" max="5894" width="18.42578125" style="18" customWidth="1"/>
    <col min="5895" max="5895" width="32.42578125" style="18" customWidth="1"/>
    <col min="5896" max="5896" width="4" style="18" customWidth="1"/>
    <col min="5897" max="5897" width="19.5703125" style="18" customWidth="1"/>
    <col min="5898" max="5898" width="16.5703125" style="18" customWidth="1"/>
    <col min="5899" max="5899" width="15.5703125" style="18" customWidth="1"/>
    <col min="5900" max="5900" width="20.85546875" style="18" customWidth="1"/>
    <col min="5901" max="5902" width="8.7109375" style="18"/>
    <col min="5903" max="5903" width="14.42578125" style="18" customWidth="1"/>
    <col min="5904" max="5904" width="19.42578125" style="18" customWidth="1"/>
    <col min="5905" max="6147" width="8.7109375" style="18"/>
    <col min="6148" max="6148" width="40.42578125" style="18" customWidth="1"/>
    <col min="6149" max="6150" width="18.42578125" style="18" customWidth="1"/>
    <col min="6151" max="6151" width="32.42578125" style="18" customWidth="1"/>
    <col min="6152" max="6152" width="4" style="18" customWidth="1"/>
    <col min="6153" max="6153" width="19.5703125" style="18" customWidth="1"/>
    <col min="6154" max="6154" width="16.5703125" style="18" customWidth="1"/>
    <col min="6155" max="6155" width="15.5703125" style="18" customWidth="1"/>
    <col min="6156" max="6156" width="20.85546875" style="18" customWidth="1"/>
    <col min="6157" max="6158" width="8.7109375" style="18"/>
    <col min="6159" max="6159" width="14.42578125" style="18" customWidth="1"/>
    <col min="6160" max="6160" width="19.42578125" style="18" customWidth="1"/>
    <col min="6161" max="6403" width="8.7109375" style="18"/>
    <col min="6404" max="6404" width="40.42578125" style="18" customWidth="1"/>
    <col min="6405" max="6406" width="18.42578125" style="18" customWidth="1"/>
    <col min="6407" max="6407" width="32.42578125" style="18" customWidth="1"/>
    <col min="6408" max="6408" width="4" style="18" customWidth="1"/>
    <col min="6409" max="6409" width="19.5703125" style="18" customWidth="1"/>
    <col min="6410" max="6410" width="16.5703125" style="18" customWidth="1"/>
    <col min="6411" max="6411" width="15.5703125" style="18" customWidth="1"/>
    <col min="6412" max="6412" width="20.85546875" style="18" customWidth="1"/>
    <col min="6413" max="6414" width="8.7109375" style="18"/>
    <col min="6415" max="6415" width="14.42578125" style="18" customWidth="1"/>
    <col min="6416" max="6416" width="19.42578125" style="18" customWidth="1"/>
    <col min="6417" max="6659" width="8.7109375" style="18"/>
    <col min="6660" max="6660" width="40.42578125" style="18" customWidth="1"/>
    <col min="6661" max="6662" width="18.42578125" style="18" customWidth="1"/>
    <col min="6663" max="6663" width="32.42578125" style="18" customWidth="1"/>
    <col min="6664" max="6664" width="4" style="18" customWidth="1"/>
    <col min="6665" max="6665" width="19.5703125" style="18" customWidth="1"/>
    <col min="6666" max="6666" width="16.5703125" style="18" customWidth="1"/>
    <col min="6667" max="6667" width="15.5703125" style="18" customWidth="1"/>
    <col min="6668" max="6668" width="20.85546875" style="18" customWidth="1"/>
    <col min="6669" max="6670" width="8.7109375" style="18"/>
    <col min="6671" max="6671" width="14.42578125" style="18" customWidth="1"/>
    <col min="6672" max="6672" width="19.42578125" style="18" customWidth="1"/>
    <col min="6673" max="6915" width="8.7109375" style="18"/>
    <col min="6916" max="6916" width="40.42578125" style="18" customWidth="1"/>
    <col min="6917" max="6918" width="18.42578125" style="18" customWidth="1"/>
    <col min="6919" max="6919" width="32.42578125" style="18" customWidth="1"/>
    <col min="6920" max="6920" width="4" style="18" customWidth="1"/>
    <col min="6921" max="6921" width="19.5703125" style="18" customWidth="1"/>
    <col min="6922" max="6922" width="16.5703125" style="18" customWidth="1"/>
    <col min="6923" max="6923" width="15.5703125" style="18" customWidth="1"/>
    <col min="6924" max="6924" width="20.85546875" style="18" customWidth="1"/>
    <col min="6925" max="6926" width="8.7109375" style="18"/>
    <col min="6927" max="6927" width="14.42578125" style="18" customWidth="1"/>
    <col min="6928" max="6928" width="19.42578125" style="18" customWidth="1"/>
    <col min="6929" max="7171" width="8.7109375" style="18"/>
    <col min="7172" max="7172" width="40.42578125" style="18" customWidth="1"/>
    <col min="7173" max="7174" width="18.42578125" style="18" customWidth="1"/>
    <col min="7175" max="7175" width="32.42578125" style="18" customWidth="1"/>
    <col min="7176" max="7176" width="4" style="18" customWidth="1"/>
    <col min="7177" max="7177" width="19.5703125" style="18" customWidth="1"/>
    <col min="7178" max="7178" width="16.5703125" style="18" customWidth="1"/>
    <col min="7179" max="7179" width="15.5703125" style="18" customWidth="1"/>
    <col min="7180" max="7180" width="20.85546875" style="18" customWidth="1"/>
    <col min="7181" max="7182" width="8.7109375" style="18"/>
    <col min="7183" max="7183" width="14.42578125" style="18" customWidth="1"/>
    <col min="7184" max="7184" width="19.42578125" style="18" customWidth="1"/>
    <col min="7185" max="7427" width="8.7109375" style="18"/>
    <col min="7428" max="7428" width="40.42578125" style="18" customWidth="1"/>
    <col min="7429" max="7430" width="18.42578125" style="18" customWidth="1"/>
    <col min="7431" max="7431" width="32.42578125" style="18" customWidth="1"/>
    <col min="7432" max="7432" width="4" style="18" customWidth="1"/>
    <col min="7433" max="7433" width="19.5703125" style="18" customWidth="1"/>
    <col min="7434" max="7434" width="16.5703125" style="18" customWidth="1"/>
    <col min="7435" max="7435" width="15.5703125" style="18" customWidth="1"/>
    <col min="7436" max="7436" width="20.85546875" style="18" customWidth="1"/>
    <col min="7437" max="7438" width="8.7109375" style="18"/>
    <col min="7439" max="7439" width="14.42578125" style="18" customWidth="1"/>
    <col min="7440" max="7440" width="19.42578125" style="18" customWidth="1"/>
    <col min="7441" max="7683" width="8.7109375" style="18"/>
    <col min="7684" max="7684" width="40.42578125" style="18" customWidth="1"/>
    <col min="7685" max="7686" width="18.42578125" style="18" customWidth="1"/>
    <col min="7687" max="7687" width="32.42578125" style="18" customWidth="1"/>
    <col min="7688" max="7688" width="4" style="18" customWidth="1"/>
    <col min="7689" max="7689" width="19.5703125" style="18" customWidth="1"/>
    <col min="7690" max="7690" width="16.5703125" style="18" customWidth="1"/>
    <col min="7691" max="7691" width="15.5703125" style="18" customWidth="1"/>
    <col min="7692" max="7692" width="20.85546875" style="18" customWidth="1"/>
    <col min="7693" max="7694" width="8.7109375" style="18"/>
    <col min="7695" max="7695" width="14.42578125" style="18" customWidth="1"/>
    <col min="7696" max="7696" width="19.42578125" style="18" customWidth="1"/>
    <col min="7697" max="7939" width="8.7109375" style="18"/>
    <col min="7940" max="7940" width="40.42578125" style="18" customWidth="1"/>
    <col min="7941" max="7942" width="18.42578125" style="18" customWidth="1"/>
    <col min="7943" max="7943" width="32.42578125" style="18" customWidth="1"/>
    <col min="7944" max="7944" width="4" style="18" customWidth="1"/>
    <col min="7945" max="7945" width="19.5703125" style="18" customWidth="1"/>
    <col min="7946" max="7946" width="16.5703125" style="18" customWidth="1"/>
    <col min="7947" max="7947" width="15.5703125" style="18" customWidth="1"/>
    <col min="7948" max="7948" width="20.85546875" style="18" customWidth="1"/>
    <col min="7949" max="7950" width="8.7109375" style="18"/>
    <col min="7951" max="7951" width="14.42578125" style="18" customWidth="1"/>
    <col min="7952" max="7952" width="19.42578125" style="18" customWidth="1"/>
    <col min="7953" max="8195" width="8.7109375" style="18"/>
    <col min="8196" max="8196" width="40.42578125" style="18" customWidth="1"/>
    <col min="8197" max="8198" width="18.42578125" style="18" customWidth="1"/>
    <col min="8199" max="8199" width="32.42578125" style="18" customWidth="1"/>
    <col min="8200" max="8200" width="4" style="18" customWidth="1"/>
    <col min="8201" max="8201" width="19.5703125" style="18" customWidth="1"/>
    <col min="8202" max="8202" width="16.5703125" style="18" customWidth="1"/>
    <col min="8203" max="8203" width="15.5703125" style="18" customWidth="1"/>
    <col min="8204" max="8204" width="20.85546875" style="18" customWidth="1"/>
    <col min="8205" max="8206" width="8.7109375" style="18"/>
    <col min="8207" max="8207" width="14.42578125" style="18" customWidth="1"/>
    <col min="8208" max="8208" width="19.42578125" style="18" customWidth="1"/>
    <col min="8209" max="8451" width="8.7109375" style="18"/>
    <col min="8452" max="8452" width="40.42578125" style="18" customWidth="1"/>
    <col min="8453" max="8454" width="18.42578125" style="18" customWidth="1"/>
    <col min="8455" max="8455" width="32.42578125" style="18" customWidth="1"/>
    <col min="8456" max="8456" width="4" style="18" customWidth="1"/>
    <col min="8457" max="8457" width="19.5703125" style="18" customWidth="1"/>
    <col min="8458" max="8458" width="16.5703125" style="18" customWidth="1"/>
    <col min="8459" max="8459" width="15.5703125" style="18" customWidth="1"/>
    <col min="8460" max="8460" width="20.85546875" style="18" customWidth="1"/>
    <col min="8461" max="8462" width="8.7109375" style="18"/>
    <col min="8463" max="8463" width="14.42578125" style="18" customWidth="1"/>
    <col min="8464" max="8464" width="19.42578125" style="18" customWidth="1"/>
    <col min="8465" max="8707" width="8.7109375" style="18"/>
    <col min="8708" max="8708" width="40.42578125" style="18" customWidth="1"/>
    <col min="8709" max="8710" width="18.42578125" style="18" customWidth="1"/>
    <col min="8711" max="8711" width="32.42578125" style="18" customWidth="1"/>
    <col min="8712" max="8712" width="4" style="18" customWidth="1"/>
    <col min="8713" max="8713" width="19.5703125" style="18" customWidth="1"/>
    <col min="8714" max="8714" width="16.5703125" style="18" customWidth="1"/>
    <col min="8715" max="8715" width="15.5703125" style="18" customWidth="1"/>
    <col min="8716" max="8716" width="20.85546875" style="18" customWidth="1"/>
    <col min="8717" max="8718" width="8.7109375" style="18"/>
    <col min="8719" max="8719" width="14.42578125" style="18" customWidth="1"/>
    <col min="8720" max="8720" width="19.42578125" style="18" customWidth="1"/>
    <col min="8721" max="8963" width="8.7109375" style="18"/>
    <col min="8964" max="8964" width="40.42578125" style="18" customWidth="1"/>
    <col min="8965" max="8966" width="18.42578125" style="18" customWidth="1"/>
    <col min="8967" max="8967" width="32.42578125" style="18" customWidth="1"/>
    <col min="8968" max="8968" width="4" style="18" customWidth="1"/>
    <col min="8969" max="8969" width="19.5703125" style="18" customWidth="1"/>
    <col min="8970" max="8970" width="16.5703125" style="18" customWidth="1"/>
    <col min="8971" max="8971" width="15.5703125" style="18" customWidth="1"/>
    <col min="8972" max="8972" width="20.85546875" style="18" customWidth="1"/>
    <col min="8973" max="8974" width="8.7109375" style="18"/>
    <col min="8975" max="8975" width="14.42578125" style="18" customWidth="1"/>
    <col min="8976" max="8976" width="19.42578125" style="18" customWidth="1"/>
    <col min="8977" max="9219" width="8.7109375" style="18"/>
    <col min="9220" max="9220" width="40.42578125" style="18" customWidth="1"/>
    <col min="9221" max="9222" width="18.42578125" style="18" customWidth="1"/>
    <col min="9223" max="9223" width="32.42578125" style="18" customWidth="1"/>
    <col min="9224" max="9224" width="4" style="18" customWidth="1"/>
    <col min="9225" max="9225" width="19.5703125" style="18" customWidth="1"/>
    <col min="9226" max="9226" width="16.5703125" style="18" customWidth="1"/>
    <col min="9227" max="9227" width="15.5703125" style="18" customWidth="1"/>
    <col min="9228" max="9228" width="20.85546875" style="18" customWidth="1"/>
    <col min="9229" max="9230" width="8.7109375" style="18"/>
    <col min="9231" max="9231" width="14.42578125" style="18" customWidth="1"/>
    <col min="9232" max="9232" width="19.42578125" style="18" customWidth="1"/>
    <col min="9233" max="9475" width="8.7109375" style="18"/>
    <col min="9476" max="9476" width="40.42578125" style="18" customWidth="1"/>
    <col min="9477" max="9478" width="18.42578125" style="18" customWidth="1"/>
    <col min="9479" max="9479" width="32.42578125" style="18" customWidth="1"/>
    <col min="9480" max="9480" width="4" style="18" customWidth="1"/>
    <col min="9481" max="9481" width="19.5703125" style="18" customWidth="1"/>
    <col min="9482" max="9482" width="16.5703125" style="18" customWidth="1"/>
    <col min="9483" max="9483" width="15.5703125" style="18" customWidth="1"/>
    <col min="9484" max="9484" width="20.85546875" style="18" customWidth="1"/>
    <col min="9485" max="9486" width="8.7109375" style="18"/>
    <col min="9487" max="9487" width="14.42578125" style="18" customWidth="1"/>
    <col min="9488" max="9488" width="19.42578125" style="18" customWidth="1"/>
    <col min="9489" max="9731" width="8.7109375" style="18"/>
    <col min="9732" max="9732" width="40.42578125" style="18" customWidth="1"/>
    <col min="9733" max="9734" width="18.42578125" style="18" customWidth="1"/>
    <col min="9735" max="9735" width="32.42578125" style="18" customWidth="1"/>
    <col min="9736" max="9736" width="4" style="18" customWidth="1"/>
    <col min="9737" max="9737" width="19.5703125" style="18" customWidth="1"/>
    <col min="9738" max="9738" width="16.5703125" style="18" customWidth="1"/>
    <col min="9739" max="9739" width="15.5703125" style="18" customWidth="1"/>
    <col min="9740" max="9740" width="20.85546875" style="18" customWidth="1"/>
    <col min="9741" max="9742" width="8.7109375" style="18"/>
    <col min="9743" max="9743" width="14.42578125" style="18" customWidth="1"/>
    <col min="9744" max="9744" width="19.42578125" style="18" customWidth="1"/>
    <col min="9745" max="9987" width="8.7109375" style="18"/>
    <col min="9988" max="9988" width="40.42578125" style="18" customWidth="1"/>
    <col min="9989" max="9990" width="18.42578125" style="18" customWidth="1"/>
    <col min="9991" max="9991" width="32.42578125" style="18" customWidth="1"/>
    <col min="9992" max="9992" width="4" style="18" customWidth="1"/>
    <col min="9993" max="9993" width="19.5703125" style="18" customWidth="1"/>
    <col min="9994" max="9994" width="16.5703125" style="18" customWidth="1"/>
    <col min="9995" max="9995" width="15.5703125" style="18" customWidth="1"/>
    <col min="9996" max="9996" width="20.85546875" style="18" customWidth="1"/>
    <col min="9997" max="9998" width="8.7109375" style="18"/>
    <col min="9999" max="9999" width="14.42578125" style="18" customWidth="1"/>
    <col min="10000" max="10000" width="19.42578125" style="18" customWidth="1"/>
    <col min="10001" max="10243" width="8.7109375" style="18"/>
    <col min="10244" max="10244" width="40.42578125" style="18" customWidth="1"/>
    <col min="10245" max="10246" width="18.42578125" style="18" customWidth="1"/>
    <col min="10247" max="10247" width="32.42578125" style="18" customWidth="1"/>
    <col min="10248" max="10248" width="4" style="18" customWidth="1"/>
    <col min="10249" max="10249" width="19.5703125" style="18" customWidth="1"/>
    <col min="10250" max="10250" width="16.5703125" style="18" customWidth="1"/>
    <col min="10251" max="10251" width="15.5703125" style="18" customWidth="1"/>
    <col min="10252" max="10252" width="20.85546875" style="18" customWidth="1"/>
    <col min="10253" max="10254" width="8.7109375" style="18"/>
    <col min="10255" max="10255" width="14.42578125" style="18" customWidth="1"/>
    <col min="10256" max="10256" width="19.42578125" style="18" customWidth="1"/>
    <col min="10257" max="10499" width="8.7109375" style="18"/>
    <col min="10500" max="10500" width="40.42578125" style="18" customWidth="1"/>
    <col min="10501" max="10502" width="18.42578125" style="18" customWidth="1"/>
    <col min="10503" max="10503" width="32.42578125" style="18" customWidth="1"/>
    <col min="10504" max="10504" width="4" style="18" customWidth="1"/>
    <col min="10505" max="10505" width="19.5703125" style="18" customWidth="1"/>
    <col min="10506" max="10506" width="16.5703125" style="18" customWidth="1"/>
    <col min="10507" max="10507" width="15.5703125" style="18" customWidth="1"/>
    <col min="10508" max="10508" width="20.85546875" style="18" customWidth="1"/>
    <col min="10509" max="10510" width="8.7109375" style="18"/>
    <col min="10511" max="10511" width="14.42578125" style="18" customWidth="1"/>
    <col min="10512" max="10512" width="19.42578125" style="18" customWidth="1"/>
    <col min="10513" max="10755" width="8.7109375" style="18"/>
    <col min="10756" max="10756" width="40.42578125" style="18" customWidth="1"/>
    <col min="10757" max="10758" width="18.42578125" style="18" customWidth="1"/>
    <col min="10759" max="10759" width="32.42578125" style="18" customWidth="1"/>
    <col min="10760" max="10760" width="4" style="18" customWidth="1"/>
    <col min="10761" max="10761" width="19.5703125" style="18" customWidth="1"/>
    <col min="10762" max="10762" width="16.5703125" style="18" customWidth="1"/>
    <col min="10763" max="10763" width="15.5703125" style="18" customWidth="1"/>
    <col min="10764" max="10764" width="20.85546875" style="18" customWidth="1"/>
    <col min="10765" max="10766" width="8.7109375" style="18"/>
    <col min="10767" max="10767" width="14.42578125" style="18" customWidth="1"/>
    <col min="10768" max="10768" width="19.42578125" style="18" customWidth="1"/>
    <col min="10769" max="11011" width="8.7109375" style="18"/>
    <col min="11012" max="11012" width="40.42578125" style="18" customWidth="1"/>
    <col min="11013" max="11014" width="18.42578125" style="18" customWidth="1"/>
    <col min="11015" max="11015" width="32.42578125" style="18" customWidth="1"/>
    <col min="11016" max="11016" width="4" style="18" customWidth="1"/>
    <col min="11017" max="11017" width="19.5703125" style="18" customWidth="1"/>
    <col min="11018" max="11018" width="16.5703125" style="18" customWidth="1"/>
    <col min="11019" max="11019" width="15.5703125" style="18" customWidth="1"/>
    <col min="11020" max="11020" width="20.85546875" style="18" customWidth="1"/>
    <col min="11021" max="11022" width="8.7109375" style="18"/>
    <col min="11023" max="11023" width="14.42578125" style="18" customWidth="1"/>
    <col min="11024" max="11024" width="19.42578125" style="18" customWidth="1"/>
    <col min="11025" max="11267" width="8.7109375" style="18"/>
    <col min="11268" max="11268" width="40.42578125" style="18" customWidth="1"/>
    <col min="11269" max="11270" width="18.42578125" style="18" customWidth="1"/>
    <col min="11271" max="11271" width="32.42578125" style="18" customWidth="1"/>
    <col min="11272" max="11272" width="4" style="18" customWidth="1"/>
    <col min="11273" max="11273" width="19.5703125" style="18" customWidth="1"/>
    <col min="11274" max="11274" width="16.5703125" style="18" customWidth="1"/>
    <col min="11275" max="11275" width="15.5703125" style="18" customWidth="1"/>
    <col min="11276" max="11276" width="20.85546875" style="18" customWidth="1"/>
    <col min="11277" max="11278" width="8.7109375" style="18"/>
    <col min="11279" max="11279" width="14.42578125" style="18" customWidth="1"/>
    <col min="11280" max="11280" width="19.42578125" style="18" customWidth="1"/>
    <col min="11281" max="11523" width="8.7109375" style="18"/>
    <col min="11524" max="11524" width="40.42578125" style="18" customWidth="1"/>
    <col min="11525" max="11526" width="18.42578125" style="18" customWidth="1"/>
    <col min="11527" max="11527" width="32.42578125" style="18" customWidth="1"/>
    <col min="11528" max="11528" width="4" style="18" customWidth="1"/>
    <col min="11529" max="11529" width="19.5703125" style="18" customWidth="1"/>
    <col min="11530" max="11530" width="16.5703125" style="18" customWidth="1"/>
    <col min="11531" max="11531" width="15.5703125" style="18" customWidth="1"/>
    <col min="11532" max="11532" width="20.85546875" style="18" customWidth="1"/>
    <col min="11533" max="11534" width="8.7109375" style="18"/>
    <col min="11535" max="11535" width="14.42578125" style="18" customWidth="1"/>
    <col min="11536" max="11536" width="19.42578125" style="18" customWidth="1"/>
    <col min="11537" max="11779" width="8.7109375" style="18"/>
    <col min="11780" max="11780" width="40.42578125" style="18" customWidth="1"/>
    <col min="11781" max="11782" width="18.42578125" style="18" customWidth="1"/>
    <col min="11783" max="11783" width="32.42578125" style="18" customWidth="1"/>
    <col min="11784" max="11784" width="4" style="18" customWidth="1"/>
    <col min="11785" max="11785" width="19.5703125" style="18" customWidth="1"/>
    <col min="11786" max="11786" width="16.5703125" style="18" customWidth="1"/>
    <col min="11787" max="11787" width="15.5703125" style="18" customWidth="1"/>
    <col min="11788" max="11788" width="20.85546875" style="18" customWidth="1"/>
    <col min="11789" max="11790" width="8.7109375" style="18"/>
    <col min="11791" max="11791" width="14.42578125" style="18" customWidth="1"/>
    <col min="11792" max="11792" width="19.42578125" style="18" customWidth="1"/>
    <col min="11793" max="12035" width="8.7109375" style="18"/>
    <col min="12036" max="12036" width="40.42578125" style="18" customWidth="1"/>
    <col min="12037" max="12038" width="18.42578125" style="18" customWidth="1"/>
    <col min="12039" max="12039" width="32.42578125" style="18" customWidth="1"/>
    <col min="12040" max="12040" width="4" style="18" customWidth="1"/>
    <col min="12041" max="12041" width="19.5703125" style="18" customWidth="1"/>
    <col min="12042" max="12042" width="16.5703125" style="18" customWidth="1"/>
    <col min="12043" max="12043" width="15.5703125" style="18" customWidth="1"/>
    <col min="12044" max="12044" width="20.85546875" style="18" customWidth="1"/>
    <col min="12045" max="12046" width="8.7109375" style="18"/>
    <col min="12047" max="12047" width="14.42578125" style="18" customWidth="1"/>
    <col min="12048" max="12048" width="19.42578125" style="18" customWidth="1"/>
    <col min="12049" max="12291" width="8.7109375" style="18"/>
    <col min="12292" max="12292" width="40.42578125" style="18" customWidth="1"/>
    <col min="12293" max="12294" width="18.42578125" style="18" customWidth="1"/>
    <col min="12295" max="12295" width="32.42578125" style="18" customWidth="1"/>
    <col min="12296" max="12296" width="4" style="18" customWidth="1"/>
    <col min="12297" max="12297" width="19.5703125" style="18" customWidth="1"/>
    <col min="12298" max="12298" width="16.5703125" style="18" customWidth="1"/>
    <col min="12299" max="12299" width="15.5703125" style="18" customWidth="1"/>
    <col min="12300" max="12300" width="20.85546875" style="18" customWidth="1"/>
    <col min="12301" max="12302" width="8.7109375" style="18"/>
    <col min="12303" max="12303" width="14.42578125" style="18" customWidth="1"/>
    <col min="12304" max="12304" width="19.42578125" style="18" customWidth="1"/>
    <col min="12305" max="12547" width="8.7109375" style="18"/>
    <col min="12548" max="12548" width="40.42578125" style="18" customWidth="1"/>
    <col min="12549" max="12550" width="18.42578125" style="18" customWidth="1"/>
    <col min="12551" max="12551" width="32.42578125" style="18" customWidth="1"/>
    <col min="12552" max="12552" width="4" style="18" customWidth="1"/>
    <col min="12553" max="12553" width="19.5703125" style="18" customWidth="1"/>
    <col min="12554" max="12554" width="16.5703125" style="18" customWidth="1"/>
    <col min="12555" max="12555" width="15.5703125" style="18" customWidth="1"/>
    <col min="12556" max="12556" width="20.85546875" style="18" customWidth="1"/>
    <col min="12557" max="12558" width="8.7109375" style="18"/>
    <col min="12559" max="12559" width="14.42578125" style="18" customWidth="1"/>
    <col min="12560" max="12560" width="19.42578125" style="18" customWidth="1"/>
    <col min="12561" max="12803" width="8.7109375" style="18"/>
    <col min="12804" max="12804" width="40.42578125" style="18" customWidth="1"/>
    <col min="12805" max="12806" width="18.42578125" style="18" customWidth="1"/>
    <col min="12807" max="12807" width="32.42578125" style="18" customWidth="1"/>
    <col min="12808" max="12808" width="4" style="18" customWidth="1"/>
    <col min="12809" max="12809" width="19.5703125" style="18" customWidth="1"/>
    <col min="12810" max="12810" width="16.5703125" style="18" customWidth="1"/>
    <col min="12811" max="12811" width="15.5703125" style="18" customWidth="1"/>
    <col min="12812" max="12812" width="20.85546875" style="18" customWidth="1"/>
    <col min="12813" max="12814" width="8.7109375" style="18"/>
    <col min="12815" max="12815" width="14.42578125" style="18" customWidth="1"/>
    <col min="12816" max="12816" width="19.42578125" style="18" customWidth="1"/>
    <col min="12817" max="13059" width="8.7109375" style="18"/>
    <col min="13060" max="13060" width="40.42578125" style="18" customWidth="1"/>
    <col min="13061" max="13062" width="18.42578125" style="18" customWidth="1"/>
    <col min="13063" max="13063" width="32.42578125" style="18" customWidth="1"/>
    <col min="13064" max="13064" width="4" style="18" customWidth="1"/>
    <col min="13065" max="13065" width="19.5703125" style="18" customWidth="1"/>
    <col min="13066" max="13066" width="16.5703125" style="18" customWidth="1"/>
    <col min="13067" max="13067" width="15.5703125" style="18" customWidth="1"/>
    <col min="13068" max="13068" width="20.85546875" style="18" customWidth="1"/>
    <col min="13069" max="13070" width="8.7109375" style="18"/>
    <col min="13071" max="13071" width="14.42578125" style="18" customWidth="1"/>
    <col min="13072" max="13072" width="19.42578125" style="18" customWidth="1"/>
    <col min="13073" max="13315" width="8.7109375" style="18"/>
    <col min="13316" max="13316" width="40.42578125" style="18" customWidth="1"/>
    <col min="13317" max="13318" width="18.42578125" style="18" customWidth="1"/>
    <col min="13319" max="13319" width="32.42578125" style="18" customWidth="1"/>
    <col min="13320" max="13320" width="4" style="18" customWidth="1"/>
    <col min="13321" max="13321" width="19.5703125" style="18" customWidth="1"/>
    <col min="13322" max="13322" width="16.5703125" style="18" customWidth="1"/>
    <col min="13323" max="13323" width="15.5703125" style="18" customWidth="1"/>
    <col min="13324" max="13324" width="20.85546875" style="18" customWidth="1"/>
    <col min="13325" max="13326" width="8.7109375" style="18"/>
    <col min="13327" max="13327" width="14.42578125" style="18" customWidth="1"/>
    <col min="13328" max="13328" width="19.42578125" style="18" customWidth="1"/>
    <col min="13329" max="13571" width="8.7109375" style="18"/>
    <col min="13572" max="13572" width="40.42578125" style="18" customWidth="1"/>
    <col min="13573" max="13574" width="18.42578125" style="18" customWidth="1"/>
    <col min="13575" max="13575" width="32.42578125" style="18" customWidth="1"/>
    <col min="13576" max="13576" width="4" style="18" customWidth="1"/>
    <col min="13577" max="13577" width="19.5703125" style="18" customWidth="1"/>
    <col min="13578" max="13578" width="16.5703125" style="18" customWidth="1"/>
    <col min="13579" max="13579" width="15.5703125" style="18" customWidth="1"/>
    <col min="13580" max="13580" width="20.85546875" style="18" customWidth="1"/>
    <col min="13581" max="13582" width="8.7109375" style="18"/>
    <col min="13583" max="13583" width="14.42578125" style="18" customWidth="1"/>
    <col min="13584" max="13584" width="19.42578125" style="18" customWidth="1"/>
    <col min="13585" max="13827" width="8.7109375" style="18"/>
    <col min="13828" max="13828" width="40.42578125" style="18" customWidth="1"/>
    <col min="13829" max="13830" width="18.42578125" style="18" customWidth="1"/>
    <col min="13831" max="13831" width="32.42578125" style="18" customWidth="1"/>
    <col min="13832" max="13832" width="4" style="18" customWidth="1"/>
    <col min="13833" max="13833" width="19.5703125" style="18" customWidth="1"/>
    <col min="13834" max="13834" width="16.5703125" style="18" customWidth="1"/>
    <col min="13835" max="13835" width="15.5703125" style="18" customWidth="1"/>
    <col min="13836" max="13836" width="20.85546875" style="18" customWidth="1"/>
    <col min="13837" max="13838" width="8.7109375" style="18"/>
    <col min="13839" max="13839" width="14.42578125" style="18" customWidth="1"/>
    <col min="13840" max="13840" width="19.42578125" style="18" customWidth="1"/>
    <col min="13841" max="14083" width="8.7109375" style="18"/>
    <col min="14084" max="14084" width="40.42578125" style="18" customWidth="1"/>
    <col min="14085" max="14086" width="18.42578125" style="18" customWidth="1"/>
    <col min="14087" max="14087" width="32.42578125" style="18" customWidth="1"/>
    <col min="14088" max="14088" width="4" style="18" customWidth="1"/>
    <col min="14089" max="14089" width="19.5703125" style="18" customWidth="1"/>
    <col min="14090" max="14090" width="16.5703125" style="18" customWidth="1"/>
    <col min="14091" max="14091" width="15.5703125" style="18" customWidth="1"/>
    <col min="14092" max="14092" width="20.85546875" style="18" customWidth="1"/>
    <col min="14093" max="14094" width="8.7109375" style="18"/>
    <col min="14095" max="14095" width="14.42578125" style="18" customWidth="1"/>
    <col min="14096" max="14096" width="19.42578125" style="18" customWidth="1"/>
    <col min="14097" max="14339" width="8.7109375" style="18"/>
    <col min="14340" max="14340" width="40.42578125" style="18" customWidth="1"/>
    <col min="14341" max="14342" width="18.42578125" style="18" customWidth="1"/>
    <col min="14343" max="14343" width="32.42578125" style="18" customWidth="1"/>
    <col min="14344" max="14344" width="4" style="18" customWidth="1"/>
    <col min="14345" max="14345" width="19.5703125" style="18" customWidth="1"/>
    <col min="14346" max="14346" width="16.5703125" style="18" customWidth="1"/>
    <col min="14347" max="14347" width="15.5703125" style="18" customWidth="1"/>
    <col min="14348" max="14348" width="20.85546875" style="18" customWidth="1"/>
    <col min="14349" max="14350" width="8.7109375" style="18"/>
    <col min="14351" max="14351" width="14.42578125" style="18" customWidth="1"/>
    <col min="14352" max="14352" width="19.42578125" style="18" customWidth="1"/>
    <col min="14353" max="14595" width="8.7109375" style="18"/>
    <col min="14596" max="14596" width="40.42578125" style="18" customWidth="1"/>
    <col min="14597" max="14598" width="18.42578125" style="18" customWidth="1"/>
    <col min="14599" max="14599" width="32.42578125" style="18" customWidth="1"/>
    <col min="14600" max="14600" width="4" style="18" customWidth="1"/>
    <col min="14601" max="14601" width="19.5703125" style="18" customWidth="1"/>
    <col min="14602" max="14602" width="16.5703125" style="18" customWidth="1"/>
    <col min="14603" max="14603" width="15.5703125" style="18" customWidth="1"/>
    <col min="14604" max="14604" width="20.85546875" style="18" customWidth="1"/>
    <col min="14605" max="14606" width="8.7109375" style="18"/>
    <col min="14607" max="14607" width="14.42578125" style="18" customWidth="1"/>
    <col min="14608" max="14608" width="19.42578125" style="18" customWidth="1"/>
    <col min="14609" max="14851" width="8.7109375" style="18"/>
    <col min="14852" max="14852" width="40.42578125" style="18" customWidth="1"/>
    <col min="14853" max="14854" width="18.42578125" style="18" customWidth="1"/>
    <col min="14855" max="14855" width="32.42578125" style="18" customWidth="1"/>
    <col min="14856" max="14856" width="4" style="18" customWidth="1"/>
    <col min="14857" max="14857" width="19.5703125" style="18" customWidth="1"/>
    <col min="14858" max="14858" width="16.5703125" style="18" customWidth="1"/>
    <col min="14859" max="14859" width="15.5703125" style="18" customWidth="1"/>
    <col min="14860" max="14860" width="20.85546875" style="18" customWidth="1"/>
    <col min="14861" max="14862" width="8.7109375" style="18"/>
    <col min="14863" max="14863" width="14.42578125" style="18" customWidth="1"/>
    <col min="14864" max="14864" width="19.42578125" style="18" customWidth="1"/>
    <col min="14865" max="15107" width="8.7109375" style="18"/>
    <col min="15108" max="15108" width="40.42578125" style="18" customWidth="1"/>
    <col min="15109" max="15110" width="18.42578125" style="18" customWidth="1"/>
    <col min="15111" max="15111" width="32.42578125" style="18" customWidth="1"/>
    <col min="15112" max="15112" width="4" style="18" customWidth="1"/>
    <col min="15113" max="15113" width="19.5703125" style="18" customWidth="1"/>
    <col min="15114" max="15114" width="16.5703125" style="18" customWidth="1"/>
    <col min="15115" max="15115" width="15.5703125" style="18" customWidth="1"/>
    <col min="15116" max="15116" width="20.85546875" style="18" customWidth="1"/>
    <col min="15117" max="15118" width="8.7109375" style="18"/>
    <col min="15119" max="15119" width="14.42578125" style="18" customWidth="1"/>
    <col min="15120" max="15120" width="19.42578125" style="18" customWidth="1"/>
    <col min="15121" max="15363" width="8.7109375" style="18"/>
    <col min="15364" max="15364" width="40.42578125" style="18" customWidth="1"/>
    <col min="15365" max="15366" width="18.42578125" style="18" customWidth="1"/>
    <col min="15367" max="15367" width="32.42578125" style="18" customWidth="1"/>
    <col min="15368" max="15368" width="4" style="18" customWidth="1"/>
    <col min="15369" max="15369" width="19.5703125" style="18" customWidth="1"/>
    <col min="15370" max="15370" width="16.5703125" style="18" customWidth="1"/>
    <col min="15371" max="15371" width="15.5703125" style="18" customWidth="1"/>
    <col min="15372" max="15372" width="20.85546875" style="18" customWidth="1"/>
    <col min="15373" max="15374" width="8.7109375" style="18"/>
    <col min="15375" max="15375" width="14.42578125" style="18" customWidth="1"/>
    <col min="15376" max="15376" width="19.42578125" style="18" customWidth="1"/>
    <col min="15377" max="15619" width="8.7109375" style="18"/>
    <col min="15620" max="15620" width="40.42578125" style="18" customWidth="1"/>
    <col min="15621" max="15622" width="18.42578125" style="18" customWidth="1"/>
    <col min="15623" max="15623" width="32.42578125" style="18" customWidth="1"/>
    <col min="15624" max="15624" width="4" style="18" customWidth="1"/>
    <col min="15625" max="15625" width="19.5703125" style="18" customWidth="1"/>
    <col min="15626" max="15626" width="16.5703125" style="18" customWidth="1"/>
    <col min="15627" max="15627" width="15.5703125" style="18" customWidth="1"/>
    <col min="15628" max="15628" width="20.85546875" style="18" customWidth="1"/>
    <col min="15629" max="15630" width="8.7109375" style="18"/>
    <col min="15631" max="15631" width="14.42578125" style="18" customWidth="1"/>
    <col min="15632" max="15632" width="19.42578125" style="18" customWidth="1"/>
    <col min="15633" max="15875" width="8.7109375" style="18"/>
    <col min="15876" max="15876" width="40.42578125" style="18" customWidth="1"/>
    <col min="15877" max="15878" width="18.42578125" style="18" customWidth="1"/>
    <col min="15879" max="15879" width="32.42578125" style="18" customWidth="1"/>
    <col min="15880" max="15880" width="4" style="18" customWidth="1"/>
    <col min="15881" max="15881" width="19.5703125" style="18" customWidth="1"/>
    <col min="15882" max="15882" width="16.5703125" style="18" customWidth="1"/>
    <col min="15883" max="15883" width="15.5703125" style="18" customWidth="1"/>
    <col min="15884" max="15884" width="20.85546875" style="18" customWidth="1"/>
    <col min="15885" max="15886" width="8.7109375" style="18"/>
    <col min="15887" max="15887" width="14.42578125" style="18" customWidth="1"/>
    <col min="15888" max="15888" width="19.42578125" style="18" customWidth="1"/>
    <col min="15889" max="16131" width="8.7109375" style="18"/>
    <col min="16132" max="16132" width="40.42578125" style="18" customWidth="1"/>
    <col min="16133" max="16134" width="18.42578125" style="18" customWidth="1"/>
    <col min="16135" max="16135" width="32.42578125" style="18" customWidth="1"/>
    <col min="16136" max="16136" width="4" style="18" customWidth="1"/>
    <col min="16137" max="16137" width="19.5703125" style="18" customWidth="1"/>
    <col min="16138" max="16138" width="16.5703125" style="18" customWidth="1"/>
    <col min="16139" max="16139" width="15.5703125" style="18" customWidth="1"/>
    <col min="16140" max="16140" width="20.85546875" style="18" customWidth="1"/>
    <col min="16141" max="16142" width="8.7109375" style="18"/>
    <col min="16143" max="16143" width="14.42578125" style="18" customWidth="1"/>
    <col min="16144" max="16144" width="19.42578125" style="18" customWidth="1"/>
    <col min="16145" max="16383" width="8.7109375" style="18"/>
    <col min="16384" max="16384" width="8.7109375" style="18" customWidth="1"/>
  </cols>
  <sheetData>
    <row r="1" spans="1:10" ht="15.75" x14ac:dyDescent="0.25">
      <c r="A1" s="15"/>
      <c r="B1" s="15"/>
      <c r="C1" s="15"/>
      <c r="D1" s="15"/>
      <c r="E1" s="15"/>
      <c r="F1" s="15"/>
      <c r="G1" s="16"/>
    </row>
    <row r="2" spans="1:10" ht="22.9" customHeight="1" x14ac:dyDescent="0.3">
      <c r="A2" s="78" t="s">
        <v>27</v>
      </c>
      <c r="B2" s="19"/>
      <c r="C2" s="19"/>
      <c r="D2" s="19"/>
      <c r="E2" s="19"/>
      <c r="F2" s="19"/>
      <c r="G2" s="20"/>
    </row>
    <row r="3" spans="1:10" ht="15.75" x14ac:dyDescent="0.25">
      <c r="A3" s="2"/>
      <c r="B3" s="19"/>
      <c r="C3" s="19"/>
      <c r="D3" s="19"/>
      <c r="E3" s="19"/>
      <c r="F3" s="19"/>
      <c r="G3" s="20"/>
    </row>
    <row r="4" spans="1:10" ht="15.75" x14ac:dyDescent="0.25">
      <c r="A4" s="2"/>
      <c r="B4" s="19"/>
      <c r="C4" s="19"/>
      <c r="D4" s="19"/>
      <c r="E4" s="19"/>
      <c r="F4" s="19"/>
      <c r="G4" s="20"/>
    </row>
    <row r="5" spans="1:10" ht="15.75" x14ac:dyDescent="0.25">
      <c r="A5" s="2"/>
      <c r="B5" s="19"/>
      <c r="C5" s="19"/>
      <c r="D5" s="19"/>
      <c r="E5" s="19"/>
      <c r="F5" s="19"/>
      <c r="G5" s="20"/>
    </row>
    <row r="6" spans="1:10" ht="18" x14ac:dyDescent="0.25">
      <c r="A6" s="91" t="s">
        <v>28</v>
      </c>
      <c r="B6" s="94"/>
      <c r="C6" s="94"/>
      <c r="D6" s="94"/>
      <c r="E6" s="21"/>
      <c r="F6" s="21"/>
      <c r="G6" s="17" t="s">
        <v>1</v>
      </c>
    </row>
    <row r="7" spans="1:10" ht="15.75" x14ac:dyDescent="0.25">
      <c r="A7" s="15"/>
      <c r="B7" s="23" t="s">
        <v>26</v>
      </c>
      <c r="C7" s="23" t="s">
        <v>23</v>
      </c>
      <c r="D7" s="23" t="s">
        <v>22</v>
      </c>
      <c r="E7" s="23" t="s">
        <v>19</v>
      </c>
      <c r="F7" s="23" t="s">
        <v>2</v>
      </c>
      <c r="G7" s="24"/>
      <c r="H7" s="24"/>
    </row>
    <row r="8" spans="1:10" ht="16.5" x14ac:dyDescent="0.25">
      <c r="A8" s="12" t="s">
        <v>29</v>
      </c>
      <c r="G8" s="38"/>
      <c r="I8" s="41"/>
    </row>
    <row r="9" spans="1:10" ht="15.75" x14ac:dyDescent="0.25">
      <c r="A9" s="15"/>
      <c r="B9" s="27"/>
      <c r="C9" s="27"/>
      <c r="D9" s="27"/>
      <c r="E9" s="33"/>
      <c r="F9" s="33"/>
      <c r="G9" s="44"/>
      <c r="H9" s="30"/>
      <c r="I9" s="37"/>
    </row>
    <row r="10" spans="1:10" ht="30" x14ac:dyDescent="0.2">
      <c r="A10" s="42" t="s">
        <v>30</v>
      </c>
      <c r="B10" s="53">
        <v>-139.22102221232399</v>
      </c>
      <c r="C10" s="53">
        <v>3271.9969520294999</v>
      </c>
      <c r="D10" s="53">
        <v>358.92112817820703</v>
      </c>
      <c r="E10" s="52">
        <v>1457.88983033011</v>
      </c>
      <c r="F10" s="52">
        <v>943.20250798176505</v>
      </c>
      <c r="G10" s="44"/>
      <c r="H10" s="30"/>
      <c r="I10" s="37"/>
    </row>
    <row r="11" spans="1:10" x14ac:dyDescent="0.2">
      <c r="A11" s="18" t="s">
        <v>31</v>
      </c>
      <c r="B11" s="119" t="s">
        <v>25</v>
      </c>
      <c r="C11" s="53">
        <f>C13-C12</f>
        <v>-37.811509809999997</v>
      </c>
      <c r="D11" s="53">
        <f>D13-D12</f>
        <v>3.3427591199999966</v>
      </c>
      <c r="E11" s="52">
        <f>E13-E12</f>
        <v>0.82883964999999904</v>
      </c>
      <c r="F11" s="52">
        <f>F13-F12</f>
        <v>3.8920790099999998</v>
      </c>
      <c r="G11" s="30"/>
      <c r="H11" s="30"/>
      <c r="I11" s="30"/>
    </row>
    <row r="12" spans="1:10" x14ac:dyDescent="0.2">
      <c r="A12" s="108" t="s">
        <v>32</v>
      </c>
      <c r="B12" s="120" t="s">
        <v>25</v>
      </c>
      <c r="C12" s="88">
        <f>D13</f>
        <v>37.811509809999997</v>
      </c>
      <c r="D12" s="88">
        <f>E13</f>
        <v>34.46875069</v>
      </c>
      <c r="E12" s="84">
        <v>33.639911040000001</v>
      </c>
      <c r="F12" s="84">
        <v>29.747832030000001</v>
      </c>
      <c r="G12" s="30"/>
      <c r="H12" s="30"/>
      <c r="I12" s="30"/>
    </row>
    <row r="13" spans="1:10" x14ac:dyDescent="0.2">
      <c r="A13" s="108" t="s">
        <v>33</v>
      </c>
      <c r="B13" s="120" t="s">
        <v>25</v>
      </c>
      <c r="C13" s="88">
        <v>0</v>
      </c>
      <c r="D13" s="88">
        <v>37.811509809999997</v>
      </c>
      <c r="E13" s="84">
        <v>34.46875069</v>
      </c>
      <c r="F13" s="84">
        <v>33.639911040000001</v>
      </c>
      <c r="G13" s="30"/>
      <c r="H13" s="30"/>
      <c r="I13" s="30"/>
    </row>
    <row r="14" spans="1:10" x14ac:dyDescent="0.2">
      <c r="A14" s="80" t="s">
        <v>34</v>
      </c>
      <c r="B14" s="121" t="s">
        <v>25</v>
      </c>
      <c r="C14" s="85">
        <f>C11*-0.2</f>
        <v>7.5623019619999994</v>
      </c>
      <c r="D14" s="85">
        <f>D11*-0.2</f>
        <v>-0.66855182399999935</v>
      </c>
      <c r="E14" s="83">
        <f>E11*-0.2</f>
        <v>-0.16576792999999981</v>
      </c>
      <c r="F14" s="83">
        <f>F11*-0.2</f>
        <v>-0.77841580200000005</v>
      </c>
      <c r="G14" s="30"/>
      <c r="H14" s="30"/>
      <c r="I14" s="30"/>
      <c r="J14" s="29"/>
    </row>
    <row r="15" spans="1:10" s="15" customFormat="1" ht="15.75" x14ac:dyDescent="0.25">
      <c r="A15" s="15" t="s">
        <v>35</v>
      </c>
      <c r="B15" s="70">
        <f>B10</f>
        <v>-139.22102221232399</v>
      </c>
      <c r="C15" s="70">
        <f>C10+C11+C14</f>
        <v>3241.7477441814999</v>
      </c>
      <c r="D15" s="70">
        <f>D10+D11+D14</f>
        <v>361.59533547420699</v>
      </c>
      <c r="E15" s="54">
        <f>E10+E11+E14</f>
        <v>1458.5529020501101</v>
      </c>
      <c r="F15" s="54">
        <f>F10+F11+F14</f>
        <v>946.31617118976499</v>
      </c>
      <c r="G15" s="33"/>
      <c r="H15" s="33"/>
      <c r="I15" s="33"/>
    </row>
    <row r="16" spans="1:10" x14ac:dyDescent="0.2">
      <c r="A16" s="42" t="s">
        <v>36</v>
      </c>
      <c r="B16" s="53">
        <f>(B17+B18)/2</f>
        <v>10878.668523493034</v>
      </c>
      <c r="C16" s="53">
        <f>(C17+C18)/2</f>
        <v>12103.36220092495</v>
      </c>
      <c r="D16" s="53">
        <f>(D17+D18)/2</f>
        <v>11663.09608827</v>
      </c>
      <c r="E16" s="52">
        <f>(E17+E18)/2</f>
        <v>12146.888037315</v>
      </c>
      <c r="F16" s="52">
        <f>(F17+F18)/2</f>
        <v>12617.1242443643</v>
      </c>
      <c r="G16" s="42"/>
      <c r="H16" s="30"/>
      <c r="I16" s="30"/>
    </row>
    <row r="17" spans="1:9" x14ac:dyDescent="0.2">
      <c r="A17" s="108" t="s">
        <v>37</v>
      </c>
      <c r="B17" s="88">
        <v>12788.291279719866</v>
      </c>
      <c r="C17" s="88">
        <f>D18</f>
        <v>11418.43312213</v>
      </c>
      <c r="D17" s="88">
        <v>11907.75905441</v>
      </c>
      <c r="E17" s="84">
        <v>12386.017020220001</v>
      </c>
      <c r="F17" s="84">
        <v>12848.2314685086</v>
      </c>
      <c r="H17" s="30"/>
      <c r="I17" s="42" t="s">
        <v>1</v>
      </c>
    </row>
    <row r="18" spans="1:9" x14ac:dyDescent="0.2">
      <c r="A18" s="108" t="s">
        <v>38</v>
      </c>
      <c r="B18" s="88">
        <v>8969.0457672661996</v>
      </c>
      <c r="C18" s="88">
        <v>12788.291279719901</v>
      </c>
      <c r="D18" s="88">
        <v>11418.43312213</v>
      </c>
      <c r="E18" s="84">
        <v>11907.75905441</v>
      </c>
      <c r="F18" s="84">
        <v>12386.017020220001</v>
      </c>
      <c r="H18" s="30"/>
      <c r="I18" s="30"/>
    </row>
    <row r="19" spans="1:9" ht="30" x14ac:dyDescent="0.2">
      <c r="A19" s="42" t="s">
        <v>39</v>
      </c>
      <c r="B19" s="119" t="s">
        <v>25</v>
      </c>
      <c r="C19" s="53">
        <f>(C12+C13)/2*0.8</f>
        <v>15.124603923999999</v>
      </c>
      <c r="D19" s="53">
        <f>(D12+D13)/2*0.8</f>
        <v>28.912104200000002</v>
      </c>
      <c r="E19" s="52">
        <f>(E12+E13)/2*0.8</f>
        <v>27.243464692</v>
      </c>
      <c r="F19" s="52">
        <f>(F12+F13)/2*0.8</f>
        <v>25.355097228000002</v>
      </c>
      <c r="G19" s="43"/>
      <c r="H19" s="30"/>
      <c r="I19" s="37"/>
    </row>
    <row r="20" spans="1:9" ht="15.75" x14ac:dyDescent="0.25">
      <c r="A20" s="15" t="s">
        <v>35</v>
      </c>
      <c r="B20" s="70">
        <f>B16</f>
        <v>10878.668523493034</v>
      </c>
      <c r="C20" s="70">
        <f>C16+C19</f>
        <v>12118.48680484895</v>
      </c>
      <c r="D20" s="70">
        <f>D16+D19</f>
        <v>11692.008192470001</v>
      </c>
      <c r="E20" s="54">
        <f>E16+E19</f>
        <v>12174.131502007</v>
      </c>
      <c r="F20" s="54">
        <f>F16+F19</f>
        <v>12642.479341592301</v>
      </c>
      <c r="G20" s="44"/>
      <c r="H20" s="30"/>
      <c r="I20" s="37"/>
    </row>
    <row r="21" spans="1:9" ht="15.75" x14ac:dyDescent="0.25">
      <c r="A21" s="15"/>
      <c r="B21" s="27"/>
      <c r="C21" s="27"/>
      <c r="D21" s="27"/>
      <c r="E21" s="33"/>
      <c r="F21" s="33"/>
      <c r="G21" s="44"/>
      <c r="H21" s="30"/>
      <c r="I21" s="37"/>
    </row>
    <row r="22" spans="1:9" s="47" customFormat="1" ht="16.5" x14ac:dyDescent="0.25">
      <c r="A22" s="12" t="s">
        <v>29</v>
      </c>
      <c r="B22" s="95">
        <f>(B15/B20)</f>
        <v>-1.2797615986889312E-2</v>
      </c>
      <c r="C22" s="95">
        <f>(C15/C20)</f>
        <v>0.26750433419495778</v>
      </c>
      <c r="D22" s="95">
        <f>(D15/D20)</f>
        <v>3.0926709041059781E-2</v>
      </c>
      <c r="E22" s="45">
        <f>(E15/E20)</f>
        <v>0.11980755274490475</v>
      </c>
      <c r="F22" s="45">
        <f>(F15/F20)</f>
        <v>7.48521034221898E-2</v>
      </c>
      <c r="G22" s="46"/>
      <c r="H22" s="45"/>
      <c r="I22" s="37"/>
    </row>
    <row r="23" spans="1:9" s="47" customFormat="1" ht="16.5" x14ac:dyDescent="0.25">
      <c r="A23" s="109"/>
      <c r="B23" s="95"/>
      <c r="C23" s="95"/>
      <c r="D23" s="95"/>
      <c r="E23" s="45"/>
      <c r="F23" s="45"/>
      <c r="G23" s="46"/>
      <c r="H23" s="45"/>
      <c r="I23" s="37"/>
    </row>
    <row r="24" spans="1:9" ht="15.75" x14ac:dyDescent="0.25">
      <c r="G24" s="74"/>
      <c r="I24" s="41"/>
    </row>
    <row r="25" spans="1:9" ht="16.5" x14ac:dyDescent="0.2">
      <c r="A25" s="12" t="s">
        <v>41</v>
      </c>
      <c r="G25" s="30"/>
    </row>
    <row r="26" spans="1:9" ht="16.5" x14ac:dyDescent="0.2">
      <c r="A26" s="12"/>
      <c r="G26" s="30"/>
    </row>
    <row r="27" spans="1:9" x14ac:dyDescent="0.2">
      <c r="A27" s="18" t="s">
        <v>42</v>
      </c>
      <c r="B27" s="53">
        <f>B18</f>
        <v>8969.0457672661996</v>
      </c>
      <c r="C27" s="53">
        <f>C18</f>
        <v>12788.291279719901</v>
      </c>
      <c r="D27" s="53">
        <f>D18</f>
        <v>11418.43312213</v>
      </c>
      <c r="E27" s="52">
        <v>11907.75905441</v>
      </c>
      <c r="F27" s="52">
        <v>12386.017020220001</v>
      </c>
      <c r="G27" s="30"/>
    </row>
    <row r="28" spans="1:9" x14ac:dyDescent="0.2">
      <c r="A28" s="81" t="s">
        <v>43</v>
      </c>
      <c r="B28" s="122" t="s">
        <v>25</v>
      </c>
      <c r="C28" s="85">
        <f>C13*0.8</f>
        <v>0</v>
      </c>
      <c r="D28" s="85">
        <f>D13*0.8</f>
        <v>30.249207847999998</v>
      </c>
      <c r="E28" s="83">
        <f>E13*0.8</f>
        <v>27.575000552000002</v>
      </c>
      <c r="F28" s="83">
        <f>F13*0.8</f>
        <v>26.911928832000001</v>
      </c>
      <c r="G28" s="30"/>
    </row>
    <row r="29" spans="1:9" ht="15.75" x14ac:dyDescent="0.25">
      <c r="A29" s="15" t="s">
        <v>35</v>
      </c>
      <c r="B29" s="70">
        <f>B27</f>
        <v>8969.0457672661996</v>
      </c>
      <c r="C29" s="70">
        <f>SUM(C27:C28)</f>
        <v>12788.291279719901</v>
      </c>
      <c r="D29" s="70">
        <f>SUM(D27:D28)</f>
        <v>11448.682329978001</v>
      </c>
      <c r="E29" s="54">
        <f>SUM(E27:E28)</f>
        <v>11935.334054962001</v>
      </c>
      <c r="F29" s="54">
        <f>SUM(F27:F28)</f>
        <v>12412.928949052</v>
      </c>
      <c r="G29" s="30"/>
    </row>
    <row r="30" spans="1:9" x14ac:dyDescent="0.2">
      <c r="A30" s="18" t="s">
        <v>40</v>
      </c>
      <c r="B30" s="53">
        <v>42033.15239448678</v>
      </c>
      <c r="C30" s="53">
        <v>61061.428613310003</v>
      </c>
      <c r="D30" s="53">
        <v>56528.890986232604</v>
      </c>
      <c r="E30" s="52">
        <v>51938.831020170001</v>
      </c>
      <c r="F30" s="52">
        <v>49340.006324182497</v>
      </c>
      <c r="G30" s="30"/>
      <c r="I30" s="30"/>
    </row>
    <row r="31" spans="1:9" x14ac:dyDescent="0.2">
      <c r="A31" s="18" t="s">
        <v>44</v>
      </c>
      <c r="B31" s="123" t="s">
        <v>25</v>
      </c>
      <c r="C31" s="53">
        <f>C13</f>
        <v>0</v>
      </c>
      <c r="D31" s="53">
        <f>D13</f>
        <v>37.811509809999997</v>
      </c>
      <c r="E31" s="52">
        <f>E13</f>
        <v>34.46875069</v>
      </c>
      <c r="F31" s="52">
        <f>F13</f>
        <v>33.639911040000001</v>
      </c>
      <c r="G31" s="30"/>
    </row>
    <row r="32" spans="1:9" ht="15.75" x14ac:dyDescent="0.25">
      <c r="A32" s="15" t="s">
        <v>35</v>
      </c>
      <c r="B32" s="70">
        <f>B30</f>
        <v>42033.15239448678</v>
      </c>
      <c r="C32" s="70">
        <f>SUM(C30:C31)</f>
        <v>61061.428613310003</v>
      </c>
      <c r="D32" s="70">
        <f>SUM(D30:D31)</f>
        <v>56566.702496042606</v>
      </c>
      <c r="E32" s="54">
        <f>SUM(E30:E31)</f>
        <v>51973.299770860001</v>
      </c>
      <c r="F32" s="54">
        <f>SUM(F30:F31)</f>
        <v>49373.646235222499</v>
      </c>
      <c r="I32" s="30"/>
    </row>
    <row r="33" spans="1:9" ht="15.75" x14ac:dyDescent="0.25">
      <c r="A33" s="15"/>
      <c r="B33" s="29"/>
      <c r="C33" s="29"/>
      <c r="D33" s="29"/>
      <c r="E33" s="30"/>
      <c r="F33" s="30"/>
      <c r="I33" s="30"/>
    </row>
    <row r="34" spans="1:9" s="47" customFormat="1" ht="16.5" x14ac:dyDescent="0.25">
      <c r="A34" s="12" t="s">
        <v>41</v>
      </c>
      <c r="B34" s="95">
        <f>B29/B32</f>
        <v>0.21338027857369585</v>
      </c>
      <c r="C34" s="95">
        <f>C29/C32</f>
        <v>0.20943321455358718</v>
      </c>
      <c r="D34" s="95">
        <f>D29/D32</f>
        <v>0.20239260598191927</v>
      </c>
      <c r="E34" s="45">
        <f>E29/E32</f>
        <v>0.22964356905531355</v>
      </c>
      <c r="F34" s="45">
        <f>F29/F32</f>
        <v>0.25140798574841294</v>
      </c>
      <c r="G34" s="48"/>
      <c r="H34" s="48"/>
      <c r="I34" s="48"/>
    </row>
    <row r="35" spans="1:9" s="47" customFormat="1" ht="15.75" x14ac:dyDescent="0.25">
      <c r="A35" s="95"/>
      <c r="B35" s="95"/>
      <c r="C35" s="95"/>
      <c r="D35" s="95"/>
      <c r="E35" s="45"/>
      <c r="F35" s="45"/>
      <c r="G35" s="48"/>
      <c r="H35" s="48"/>
      <c r="I35" s="42"/>
    </row>
    <row r="36" spans="1:9" s="47" customFormat="1" ht="15.75" x14ac:dyDescent="0.25">
      <c r="A36" s="95"/>
      <c r="B36" s="95"/>
      <c r="C36" s="95"/>
      <c r="D36" s="95"/>
      <c r="E36" s="45"/>
      <c r="F36" s="45"/>
      <c r="G36" s="48"/>
      <c r="H36" s="48"/>
      <c r="I36" s="42"/>
    </row>
    <row r="37" spans="1:9" s="47" customFormat="1" ht="16.5" x14ac:dyDescent="0.25">
      <c r="A37" s="126" t="s">
        <v>45</v>
      </c>
      <c r="B37" s="95"/>
      <c r="C37" s="95"/>
      <c r="D37" s="95"/>
      <c r="E37" s="45"/>
      <c r="F37" s="45"/>
      <c r="G37" s="48"/>
      <c r="H37" s="48"/>
      <c r="I37" s="42"/>
    </row>
    <row r="38" spans="1:9" s="47" customFormat="1" ht="15.75" x14ac:dyDescent="0.25">
      <c r="A38" s="95"/>
      <c r="B38" s="95"/>
      <c r="C38" s="95"/>
      <c r="D38" s="95"/>
      <c r="E38" s="45"/>
      <c r="F38" s="45"/>
      <c r="G38" s="48"/>
      <c r="H38" s="48"/>
      <c r="I38" s="42"/>
    </row>
    <row r="39" spans="1:9" s="47" customFormat="1" ht="15.75" x14ac:dyDescent="0.25">
      <c r="A39" s="103" t="s">
        <v>46</v>
      </c>
      <c r="B39" s="53">
        <v>6921.5865866200002</v>
      </c>
      <c r="C39" s="53">
        <v>6555.3933707752603</v>
      </c>
      <c r="D39" s="53">
        <v>5773.43170326364</v>
      </c>
      <c r="E39" s="107" t="s">
        <v>25</v>
      </c>
      <c r="F39" s="45"/>
      <c r="G39" s="48"/>
      <c r="H39" s="48"/>
      <c r="I39" s="42"/>
    </row>
    <row r="40" spans="1:9" s="47" customFormat="1" ht="15.75" x14ac:dyDescent="0.25">
      <c r="A40" s="103" t="s">
        <v>47</v>
      </c>
      <c r="B40" s="53">
        <v>415.90058339000001</v>
      </c>
      <c r="C40" s="53">
        <v>330.88453471333895</v>
      </c>
      <c r="D40" s="53">
        <v>38.773517723796701</v>
      </c>
      <c r="E40" s="107" t="s">
        <v>25</v>
      </c>
      <c r="F40" s="45"/>
      <c r="G40" s="48"/>
      <c r="H40" s="48"/>
      <c r="I40" s="42"/>
    </row>
    <row r="41" spans="1:9" s="47" customFormat="1" ht="15.75" x14ac:dyDescent="0.25">
      <c r="A41" s="103" t="s">
        <v>48</v>
      </c>
      <c r="B41" s="53">
        <v>4220.1544559699996</v>
      </c>
      <c r="C41" s="53">
        <f>C77+C122+C149+C78</f>
        <v>4026.7658219313803</v>
      </c>
      <c r="D41" s="53">
        <v>3513.6212924875499</v>
      </c>
      <c r="E41" s="107" t="s">
        <v>25</v>
      </c>
      <c r="F41" s="45"/>
      <c r="H41" s="48"/>
      <c r="I41" s="42"/>
    </row>
    <row r="42" spans="1:9" s="47" customFormat="1" ht="15.75" x14ac:dyDescent="0.25">
      <c r="A42" s="110" t="s">
        <v>49</v>
      </c>
      <c r="B42" s="85">
        <v>1803.7247140300001</v>
      </c>
      <c r="C42" s="85">
        <f>C86+C100+C129+C157+C158+C159</f>
        <v>1577.9505603595039</v>
      </c>
      <c r="D42" s="85">
        <v>1331.2610494932201</v>
      </c>
      <c r="E42" s="107" t="s">
        <v>25</v>
      </c>
      <c r="F42" s="45"/>
      <c r="H42" s="48"/>
      <c r="I42" s="42"/>
    </row>
    <row r="43" spans="1:9" s="47" customFormat="1" ht="15.75" x14ac:dyDescent="0.25">
      <c r="A43" s="111" t="s">
        <v>50</v>
      </c>
      <c r="B43" s="70">
        <f>B39+B40-B41-B42</f>
        <v>1313.6080000100005</v>
      </c>
      <c r="C43" s="70">
        <f>C39+C40-C41-C42</f>
        <v>1281.5615231977154</v>
      </c>
      <c r="D43" s="70">
        <f>D39+D40-D41-D42</f>
        <v>967.32287900666643</v>
      </c>
      <c r="E43" s="107" t="s">
        <v>25</v>
      </c>
      <c r="F43" s="45"/>
      <c r="G43" s="48"/>
      <c r="H43" s="48"/>
      <c r="I43" s="42"/>
    </row>
    <row r="44" spans="1:9" s="47" customFormat="1" ht="15.75" x14ac:dyDescent="0.25">
      <c r="A44" s="104"/>
      <c r="B44" s="95"/>
      <c r="C44" s="95"/>
      <c r="D44" s="95"/>
      <c r="E44" s="45"/>
      <c r="F44" s="45"/>
      <c r="G44" s="48"/>
      <c r="H44" s="48"/>
      <c r="I44" s="42"/>
    </row>
    <row r="45" spans="1:9" s="47" customFormat="1" ht="16.5" x14ac:dyDescent="0.25">
      <c r="A45" s="12" t="s">
        <v>51</v>
      </c>
      <c r="B45" s="95">
        <f>1-B43/(B39+B40)</f>
        <v>0.82097304300864482</v>
      </c>
      <c r="C45" s="95">
        <f>1-C43/(C39+C40)</f>
        <v>0.81389633982441123</v>
      </c>
      <c r="D45" s="95">
        <f>1-D43/(D39+D40)</f>
        <v>0.83357041910465646</v>
      </c>
      <c r="E45" s="107" t="s">
        <v>25</v>
      </c>
      <c r="F45" s="45"/>
      <c r="G45" s="48"/>
      <c r="H45" s="48"/>
      <c r="I45" s="42"/>
    </row>
    <row r="46" spans="1:9" s="47" customFormat="1" ht="15.75" x14ac:dyDescent="0.25">
      <c r="A46" s="95"/>
      <c r="B46" s="95"/>
      <c r="C46" s="95"/>
      <c r="D46" s="95"/>
      <c r="E46" s="45"/>
      <c r="F46" s="45"/>
      <c r="G46" s="48"/>
      <c r="H46" s="48"/>
      <c r="I46" s="42"/>
    </row>
    <row r="47" spans="1:9" s="47" customFormat="1" ht="15.75" x14ac:dyDescent="0.25">
      <c r="A47" s="95"/>
      <c r="B47" s="95"/>
      <c r="C47" s="95"/>
      <c r="D47" s="95"/>
      <c r="E47" s="45"/>
      <c r="F47" s="45"/>
      <c r="G47" s="48"/>
      <c r="H47" s="48"/>
      <c r="I47" s="42"/>
    </row>
    <row r="48" spans="1:9" s="47" customFormat="1" ht="15.75" x14ac:dyDescent="0.25">
      <c r="A48" s="95" t="s">
        <v>52</v>
      </c>
      <c r="B48" s="95"/>
      <c r="C48" s="95"/>
      <c r="D48" s="95"/>
      <c r="E48" s="45"/>
      <c r="F48" s="45"/>
      <c r="G48" s="48"/>
      <c r="H48" s="48"/>
      <c r="I48" s="73"/>
    </row>
    <row r="49" spans="1:12" s="47" customFormat="1" ht="15.75" x14ac:dyDescent="0.25">
      <c r="A49" s="95"/>
      <c r="B49" s="95"/>
      <c r="C49" s="95"/>
      <c r="D49" s="95"/>
      <c r="E49" s="45"/>
      <c r="F49" s="45"/>
      <c r="G49" s="48"/>
      <c r="H49" s="48"/>
      <c r="I49" s="73"/>
    </row>
    <row r="50" spans="1:12" s="47" customFormat="1" ht="15.75" x14ac:dyDescent="0.25">
      <c r="A50" s="112" t="s">
        <v>53</v>
      </c>
      <c r="B50" s="53">
        <v>3288.1987968800004</v>
      </c>
      <c r="C50" s="53">
        <v>4210.4873371399999</v>
      </c>
      <c r="D50" s="53">
        <v>4905.6479955599998</v>
      </c>
      <c r="E50" s="107" t="s">
        <v>25</v>
      </c>
      <c r="F50" s="45"/>
      <c r="G50" s="48"/>
      <c r="H50" s="48"/>
      <c r="I50" s="73"/>
    </row>
    <row r="51" spans="1:12" s="47" customFormat="1" ht="15.75" x14ac:dyDescent="0.25">
      <c r="A51" s="47" t="s">
        <v>54</v>
      </c>
      <c r="B51" s="53">
        <v>9543.1311616764742</v>
      </c>
      <c r="C51" s="53">
        <v>13464.344159770479</v>
      </c>
      <c r="D51" s="53">
        <v>12258.248730473435</v>
      </c>
      <c r="E51" s="107" t="s">
        <v>25</v>
      </c>
      <c r="F51" s="45"/>
      <c r="G51" s="48"/>
      <c r="H51" s="48"/>
      <c r="I51" s="73"/>
    </row>
    <row r="52" spans="1:12" s="47" customFormat="1" ht="15.75" x14ac:dyDescent="0.25">
      <c r="A52" s="95"/>
      <c r="B52" s="53"/>
      <c r="C52" s="53"/>
      <c r="D52" s="53"/>
      <c r="E52" s="45"/>
      <c r="F52" s="45"/>
      <c r="G52" s="48"/>
      <c r="H52" s="48"/>
      <c r="I52" s="73"/>
    </row>
    <row r="53" spans="1:12" s="95" customFormat="1" ht="15.75" x14ac:dyDescent="0.25">
      <c r="A53" s="95" t="s">
        <v>55</v>
      </c>
      <c r="B53" s="105">
        <f>B50/(B50+B51)</f>
        <v>0.25626328739892545</v>
      </c>
      <c r="C53" s="105">
        <f>C50/(C50+C51)</f>
        <v>0.23821937639835397</v>
      </c>
      <c r="D53" s="105">
        <f>D50/(D50+D51)</f>
        <v>0.28581202007113754</v>
      </c>
      <c r="E53" s="107" t="s">
        <v>25</v>
      </c>
      <c r="F53" s="45"/>
      <c r="G53" s="45"/>
      <c r="H53" s="45"/>
      <c r="I53" s="106"/>
    </row>
    <row r="54" spans="1:12" s="47" customFormat="1" ht="15.75" x14ac:dyDescent="0.25">
      <c r="A54" s="95"/>
      <c r="B54" s="95"/>
      <c r="C54" s="95"/>
      <c r="D54" s="95"/>
      <c r="E54" s="45"/>
      <c r="F54" s="45"/>
      <c r="G54" s="48"/>
      <c r="H54" s="48"/>
      <c r="I54" s="73"/>
    </row>
    <row r="55" spans="1:12" s="47" customFormat="1" ht="15.75" x14ac:dyDescent="0.25">
      <c r="A55" s="95"/>
      <c r="G55" s="48"/>
      <c r="H55" s="48"/>
      <c r="I55" s="73"/>
    </row>
    <row r="56" spans="1:12" ht="18" x14ac:dyDescent="0.25">
      <c r="A56" s="113" t="s">
        <v>18</v>
      </c>
      <c r="B56" s="15"/>
      <c r="C56" s="15"/>
      <c r="D56" s="15"/>
      <c r="E56" s="22"/>
      <c r="F56" s="22"/>
      <c r="G56" s="26"/>
      <c r="I56" s="73"/>
      <c r="K56" s="27"/>
      <c r="L56" s="27"/>
    </row>
    <row r="57" spans="1:12" ht="18" x14ac:dyDescent="0.25">
      <c r="A57" s="114"/>
      <c r="B57" s="15"/>
      <c r="C57" s="15"/>
      <c r="D57" s="15"/>
      <c r="E57" s="22"/>
      <c r="F57" s="22"/>
      <c r="G57" s="26"/>
      <c r="I57" s="73"/>
      <c r="K57" s="27"/>
      <c r="L57" s="27"/>
    </row>
    <row r="58" spans="1:12" ht="16.5" x14ac:dyDescent="0.25">
      <c r="A58" s="115"/>
      <c r="B58" s="23" t="s">
        <v>26</v>
      </c>
      <c r="C58" s="23" t="s">
        <v>23</v>
      </c>
      <c r="D58" s="23" t="s">
        <v>22</v>
      </c>
      <c r="E58" s="23" t="s">
        <v>19</v>
      </c>
      <c r="F58" s="23" t="s">
        <v>2</v>
      </c>
      <c r="G58" s="26"/>
      <c r="K58" s="27"/>
      <c r="L58" s="27"/>
    </row>
    <row r="59" spans="1:12" ht="16.5" x14ac:dyDescent="0.25">
      <c r="A59" s="14" t="s">
        <v>56</v>
      </c>
      <c r="B59" s="15"/>
      <c r="C59" s="15"/>
      <c r="D59" s="15"/>
      <c r="E59" s="22"/>
      <c r="F59" s="22"/>
      <c r="G59" s="26"/>
      <c r="K59" s="27"/>
      <c r="L59" s="27"/>
    </row>
    <row r="60" spans="1:12" ht="16.5" x14ac:dyDescent="0.25">
      <c r="A60" s="13"/>
      <c r="B60" s="15"/>
      <c r="C60" s="15"/>
      <c r="D60" s="15"/>
      <c r="E60" s="22"/>
      <c r="F60" s="22"/>
      <c r="G60" s="26"/>
      <c r="K60" s="27"/>
      <c r="L60" s="27"/>
    </row>
    <row r="61" spans="1:12" ht="15.75" x14ac:dyDescent="0.25">
      <c r="A61" s="103" t="s">
        <v>57</v>
      </c>
      <c r="B61" s="53">
        <v>5102.7557479099996</v>
      </c>
      <c r="C61" s="53">
        <v>4855.0341455500002</v>
      </c>
      <c r="D61" s="53">
        <v>4588.6288541599997</v>
      </c>
      <c r="E61" s="53">
        <f>4674.80834183-199.5541815</f>
        <v>4475.2541603300006</v>
      </c>
      <c r="F61" s="53">
        <v>4325.2056932699998</v>
      </c>
      <c r="G61" s="26"/>
      <c r="K61" s="27"/>
      <c r="L61" s="27"/>
    </row>
    <row r="62" spans="1:12" ht="15.75" x14ac:dyDescent="0.25">
      <c r="A62" s="8" t="s">
        <v>58</v>
      </c>
      <c r="B62" s="85">
        <v>-100.78448607</v>
      </c>
      <c r="C62" s="85">
        <v>-83.168946329999997</v>
      </c>
      <c r="D62" s="85">
        <v>-104.70014652</v>
      </c>
      <c r="E62" s="85">
        <v>-87.014954299999999</v>
      </c>
      <c r="F62" s="85">
        <v>-35.277475209999999</v>
      </c>
      <c r="G62" s="26"/>
      <c r="K62" s="27"/>
      <c r="L62" s="27"/>
    </row>
    <row r="63" spans="1:12" ht="15.75" x14ac:dyDescent="0.25">
      <c r="A63" s="75" t="s">
        <v>35</v>
      </c>
      <c r="B63" s="70">
        <f>SUM(B61:B62)</f>
        <v>5001.9712618399999</v>
      </c>
      <c r="C63" s="70">
        <f>SUM(C61:C62)</f>
        <v>4771.8651992200002</v>
      </c>
      <c r="D63" s="70">
        <f>SUM(D61:D62)</f>
        <v>4483.9287076399996</v>
      </c>
      <c r="E63" s="86">
        <f>SUM(E61:E62)</f>
        <v>4388.2392060300008</v>
      </c>
      <c r="F63" s="86">
        <f>SUM(F61:F62)</f>
        <v>4289.9282180599994</v>
      </c>
      <c r="G63" s="26"/>
      <c r="K63" s="27"/>
      <c r="L63" s="27"/>
    </row>
    <row r="64" spans="1:12" ht="15.75" x14ac:dyDescent="0.25">
      <c r="A64" s="75"/>
      <c r="B64" s="27"/>
      <c r="C64" s="27"/>
      <c r="D64" s="27"/>
      <c r="E64" s="35"/>
      <c r="F64" s="35"/>
      <c r="G64" s="26"/>
      <c r="K64" s="27"/>
      <c r="L64" s="27"/>
    </row>
    <row r="65" spans="1:12" ht="15.75" x14ac:dyDescent="0.25">
      <c r="A65" s="75"/>
      <c r="B65" s="27"/>
      <c r="C65" s="27"/>
      <c r="D65" s="27"/>
      <c r="E65" s="35"/>
      <c r="F65" s="35"/>
      <c r="G65" s="26"/>
      <c r="K65" s="27"/>
      <c r="L65" s="27"/>
    </row>
    <row r="66" spans="1:12" ht="16.5" x14ac:dyDescent="0.25">
      <c r="A66" s="12" t="s">
        <v>59</v>
      </c>
      <c r="B66" s="27"/>
      <c r="C66" s="27"/>
      <c r="D66" s="27"/>
      <c r="E66" s="35"/>
      <c r="F66" s="35"/>
      <c r="G66" s="26"/>
      <c r="K66" s="27"/>
      <c r="L66" s="27"/>
    </row>
    <row r="67" spans="1:12" ht="16.5" x14ac:dyDescent="0.25">
      <c r="A67" s="12"/>
      <c r="B67" s="27"/>
      <c r="C67" s="27"/>
      <c r="D67" s="27"/>
      <c r="E67" s="35"/>
      <c r="F67" s="35"/>
      <c r="G67" s="26"/>
      <c r="K67" s="27"/>
      <c r="L67" s="27"/>
    </row>
    <row r="68" spans="1:12" ht="15.75" x14ac:dyDescent="0.25">
      <c r="A68" s="80" t="s">
        <v>60</v>
      </c>
      <c r="B68" s="87">
        <v>182.24674363740684</v>
      </c>
      <c r="C68" s="87">
        <v>1090.1272423246919</v>
      </c>
      <c r="D68" s="87">
        <v>865.61828862590562</v>
      </c>
      <c r="E68" s="87">
        <v>835.57644101370738</v>
      </c>
      <c r="F68" s="87">
        <v>284.24349062261501</v>
      </c>
      <c r="G68" s="26"/>
      <c r="K68" s="27"/>
      <c r="L68" s="27"/>
    </row>
    <row r="69" spans="1:12" ht="15.75" x14ac:dyDescent="0.25">
      <c r="A69" s="42" t="s">
        <v>61</v>
      </c>
      <c r="B69" s="70">
        <f>(B70+B71)/2</f>
        <v>2978.8650418709199</v>
      </c>
      <c r="C69" s="70">
        <f>(C70+C71)/2</f>
        <v>2948.4416526272598</v>
      </c>
      <c r="D69" s="70">
        <f>(D70+D71)/2</f>
        <v>2602.851228928635</v>
      </c>
      <c r="E69" s="86">
        <f>(E70+E71)/2</f>
        <v>2424.5364656239949</v>
      </c>
      <c r="F69" s="86">
        <f>(F70+F71)/2</f>
        <v>2537.2966318546</v>
      </c>
      <c r="G69" s="26"/>
      <c r="K69" s="27"/>
      <c r="L69" s="27"/>
    </row>
    <row r="70" spans="1:12" ht="15.75" x14ac:dyDescent="0.25">
      <c r="A70" s="108" t="s">
        <v>37</v>
      </c>
      <c r="B70" s="88">
        <v>3184.4225135859397</v>
      </c>
      <c r="C70" s="88">
        <f>D71</f>
        <v>2712.46079166858</v>
      </c>
      <c r="D70" s="88">
        <f>E71</f>
        <v>2493.24166618869</v>
      </c>
      <c r="E70" s="84">
        <v>2355.8312650592998</v>
      </c>
      <c r="F70" s="84">
        <v>2718.7619986499099</v>
      </c>
      <c r="G70" s="26"/>
      <c r="K70" s="27"/>
      <c r="L70" s="27"/>
    </row>
    <row r="71" spans="1:12" ht="15.75" x14ac:dyDescent="0.25">
      <c r="A71" s="108" t="s">
        <v>38</v>
      </c>
      <c r="B71" s="88">
        <v>2773.3075701559001</v>
      </c>
      <c r="C71" s="88">
        <v>3184.4225135859397</v>
      </c>
      <c r="D71" s="88">
        <v>2712.46079166858</v>
      </c>
      <c r="E71" s="88">
        <v>2493.24166618869</v>
      </c>
      <c r="F71" s="88">
        <v>2355.8312650592902</v>
      </c>
      <c r="G71" s="26"/>
      <c r="K71" s="27"/>
      <c r="L71" s="27"/>
    </row>
    <row r="72" spans="1:12" ht="16.5" x14ac:dyDescent="0.25">
      <c r="A72" s="12" t="s">
        <v>59</v>
      </c>
      <c r="B72" s="95">
        <f>B68/B69</f>
        <v>6.1179926272505486E-2</v>
      </c>
      <c r="C72" s="95">
        <f>C68/C69</f>
        <v>0.36972996950891507</v>
      </c>
      <c r="D72" s="95">
        <f>D68/D69</f>
        <v>0.33256541096365488</v>
      </c>
      <c r="E72" s="45">
        <f>E68/E69</f>
        <v>0.34463348060993498</v>
      </c>
      <c r="F72" s="45">
        <f>F68/F69</f>
        <v>0.11202611750398746</v>
      </c>
      <c r="G72" s="26"/>
      <c r="K72" s="27"/>
      <c r="L72" s="27"/>
    </row>
    <row r="73" spans="1:12" ht="15.75" x14ac:dyDescent="0.25">
      <c r="A73" s="75"/>
      <c r="B73" s="27"/>
      <c r="C73" s="27"/>
      <c r="D73" s="27"/>
      <c r="E73" s="45"/>
      <c r="F73" s="45"/>
      <c r="G73" s="26"/>
      <c r="K73" s="27"/>
      <c r="L73" s="27"/>
    </row>
    <row r="74" spans="1:12" ht="15.75" x14ac:dyDescent="0.25">
      <c r="A74" s="75"/>
      <c r="B74" s="27"/>
      <c r="C74" s="27"/>
      <c r="D74" s="27"/>
      <c r="E74" s="35"/>
      <c r="F74" s="35"/>
      <c r="G74" s="26"/>
      <c r="K74" s="27"/>
      <c r="L74" s="27"/>
    </row>
    <row r="75" spans="1:12" ht="16.5" x14ac:dyDescent="0.25">
      <c r="A75" s="124" t="s">
        <v>62</v>
      </c>
      <c r="B75" s="27"/>
      <c r="C75" s="27"/>
      <c r="D75" s="27"/>
      <c r="E75" s="35"/>
      <c r="F75" s="35"/>
      <c r="G75" s="26"/>
      <c r="K75" s="27"/>
      <c r="L75" s="27"/>
    </row>
    <row r="76" spans="1:12" ht="16.5" x14ac:dyDescent="0.25">
      <c r="A76" s="124"/>
      <c r="B76" s="27"/>
      <c r="C76" s="27"/>
      <c r="D76" s="27"/>
      <c r="E76" s="35"/>
      <c r="F76" s="35"/>
      <c r="G76" s="49"/>
      <c r="K76" s="27"/>
      <c r="L76" s="27"/>
    </row>
    <row r="77" spans="1:12" ht="15.75" x14ac:dyDescent="0.25">
      <c r="A77" s="130" t="s">
        <v>63</v>
      </c>
      <c r="B77" s="53">
        <f>2962.88708498+282.48927488</f>
        <v>3245.3763598599999</v>
      </c>
      <c r="C77" s="53">
        <v>3125.9388558999999</v>
      </c>
      <c r="D77" s="53">
        <v>2975.10834952</v>
      </c>
      <c r="E77" s="89">
        <v>2999.9969435200001</v>
      </c>
      <c r="F77" s="89">
        <v>2953.6084632699999</v>
      </c>
      <c r="G77" s="26"/>
      <c r="K77" s="27"/>
      <c r="L77" s="27"/>
    </row>
    <row r="78" spans="1:12" ht="15.75" x14ac:dyDescent="0.25">
      <c r="A78" s="127" t="s">
        <v>64</v>
      </c>
      <c r="B78" s="85">
        <v>-282.48927487999998</v>
      </c>
      <c r="C78" s="85">
        <v>-266.23042595999999</v>
      </c>
      <c r="D78" s="85">
        <v>-254.71630576000001</v>
      </c>
      <c r="E78" s="85">
        <v>-248.95841866000001</v>
      </c>
      <c r="F78" s="85">
        <v>-237.49235494999999</v>
      </c>
      <c r="G78" s="26"/>
      <c r="K78" s="27"/>
      <c r="L78" s="27"/>
    </row>
    <row r="79" spans="1:12" ht="15.75" x14ac:dyDescent="0.25">
      <c r="A79" s="130" t="s">
        <v>46</v>
      </c>
      <c r="B79" s="53">
        <f>B63</f>
        <v>5001.9712618399999</v>
      </c>
      <c r="C79" s="53">
        <f>C63</f>
        <v>4771.8651992200002</v>
      </c>
      <c r="D79" s="53">
        <f>D63</f>
        <v>4483.9287076399996</v>
      </c>
      <c r="E79" s="89">
        <f>E63</f>
        <v>4388.2392060300008</v>
      </c>
      <c r="F79" s="89">
        <f>F63</f>
        <v>4289.9282180599994</v>
      </c>
      <c r="G79" s="26"/>
      <c r="K79" s="27"/>
      <c r="L79" s="27"/>
    </row>
    <row r="80" spans="1:12" ht="16.5" x14ac:dyDescent="0.25">
      <c r="A80" s="124" t="s">
        <v>62</v>
      </c>
      <c r="B80" s="95">
        <f>(B77+B78)/B79</f>
        <v>0.59234388401705595</v>
      </c>
      <c r="C80" s="95">
        <f>(C77+C78)/C79</f>
        <v>0.59928525022195556</v>
      </c>
      <c r="D80" s="95">
        <f>(D77+D78)/D79</f>
        <v>0.60669832665377244</v>
      </c>
      <c r="E80" s="45">
        <f>(E77+E78)/E79</f>
        <v>0.62691170551498698</v>
      </c>
      <c r="F80" s="45">
        <f>(F77+F78)/F79</f>
        <v>0.63313789188488745</v>
      </c>
      <c r="G80" s="26"/>
      <c r="K80" s="27"/>
      <c r="L80" s="27"/>
    </row>
    <row r="81" spans="1:12" ht="16.5" x14ac:dyDescent="0.25">
      <c r="A81" s="124"/>
      <c r="B81" s="95"/>
      <c r="C81" s="95"/>
      <c r="D81" s="95"/>
      <c r="E81" s="45"/>
      <c r="F81" s="45"/>
      <c r="G81" s="26"/>
      <c r="K81" s="27"/>
      <c r="L81" s="27"/>
    </row>
    <row r="82" spans="1:12" ht="15.75" x14ac:dyDescent="0.25">
      <c r="A82" s="130"/>
      <c r="B82" s="95"/>
      <c r="C82" s="95"/>
      <c r="D82" s="95"/>
      <c r="E82" s="45"/>
      <c r="F82" s="45"/>
      <c r="G82" s="26"/>
      <c r="K82" s="27"/>
      <c r="L82" s="27"/>
    </row>
    <row r="83" spans="1:12" ht="16.5" x14ac:dyDescent="0.25">
      <c r="A83" s="124" t="s">
        <v>65</v>
      </c>
      <c r="B83" s="95"/>
      <c r="C83" s="95"/>
      <c r="D83" s="95"/>
      <c r="E83" s="45"/>
      <c r="F83" s="45"/>
      <c r="G83" s="26" t="s">
        <v>1</v>
      </c>
      <c r="K83" s="27"/>
      <c r="L83" s="27"/>
    </row>
    <row r="84" spans="1:12" ht="15.75" x14ac:dyDescent="0.25">
      <c r="A84" s="7"/>
      <c r="B84" s="95"/>
      <c r="C84" s="95"/>
      <c r="D84" s="95"/>
      <c r="E84" s="45"/>
      <c r="F84" s="45"/>
      <c r="G84" s="26"/>
      <c r="K84" s="27"/>
      <c r="L84" s="27"/>
    </row>
    <row r="85" spans="1:12" ht="15.75" x14ac:dyDescent="0.25">
      <c r="A85" s="7" t="s">
        <v>66</v>
      </c>
      <c r="B85" s="53">
        <f>1053.72655312-282.48927488</f>
        <v>771.23727824000002</v>
      </c>
      <c r="C85" s="53">
        <v>755.15389432999996</v>
      </c>
      <c r="D85" s="53">
        <v>707.57555680999997</v>
      </c>
      <c r="E85" s="53">
        <v>706.37195291</v>
      </c>
      <c r="F85" s="53">
        <v>701.68565653999997</v>
      </c>
      <c r="G85" s="49"/>
      <c r="K85" s="27"/>
      <c r="L85" s="27"/>
    </row>
    <row r="86" spans="1:12" ht="15.75" x14ac:dyDescent="0.25">
      <c r="A86" s="8" t="s">
        <v>67</v>
      </c>
      <c r="B86" s="85">
        <f>-B78</f>
        <v>282.48927487999998</v>
      </c>
      <c r="C86" s="85">
        <f>-C78</f>
        <v>266.23042595999999</v>
      </c>
      <c r="D86" s="85">
        <f>-D78</f>
        <v>254.71630576000001</v>
      </c>
      <c r="E86" s="85">
        <f>-E78</f>
        <v>248.95841866000001</v>
      </c>
      <c r="F86" s="85">
        <v>237.49235494999999</v>
      </c>
      <c r="G86" s="26"/>
      <c r="K86" s="27"/>
      <c r="L86" s="27"/>
    </row>
    <row r="87" spans="1:12" ht="15.75" x14ac:dyDescent="0.25">
      <c r="A87" s="7" t="s">
        <v>46</v>
      </c>
      <c r="B87" s="53">
        <f>B79</f>
        <v>5001.9712618399999</v>
      </c>
      <c r="C87" s="53">
        <f>C79</f>
        <v>4771.8651992200002</v>
      </c>
      <c r="D87" s="53">
        <f>D79</f>
        <v>4483.9287076399996</v>
      </c>
      <c r="E87" s="89">
        <f>E79</f>
        <v>4388.2392060300008</v>
      </c>
      <c r="F87" s="89">
        <f>F79</f>
        <v>4289.9282180599994</v>
      </c>
      <c r="G87" s="26"/>
      <c r="K87" s="27"/>
      <c r="L87" s="27"/>
    </row>
    <row r="88" spans="1:12" ht="16.5" x14ac:dyDescent="0.25">
      <c r="A88" s="14" t="s">
        <v>65</v>
      </c>
      <c r="B88" s="95">
        <f>(B85+B86)/B87</f>
        <v>0.21066225653051462</v>
      </c>
      <c r="C88" s="95">
        <f>(C85+C86)/C87</f>
        <v>0.2140429952750873</v>
      </c>
      <c r="D88" s="95">
        <f>(D85+D86)/D87</f>
        <v>0.21460909066872239</v>
      </c>
      <c r="E88" s="45">
        <f>(E85+E86)/E87</f>
        <v>0.21770243751918861</v>
      </c>
      <c r="F88" s="45">
        <f>(F85+F86)/F87</f>
        <v>0.21892627656010458</v>
      </c>
      <c r="G88" s="26"/>
      <c r="K88" s="27"/>
      <c r="L88" s="27"/>
    </row>
    <row r="89" spans="1:12" ht="16.5" x14ac:dyDescent="0.25">
      <c r="A89" s="14"/>
      <c r="B89" s="95"/>
      <c r="C89" s="95"/>
      <c r="D89" s="95"/>
      <c r="E89" s="45"/>
      <c r="F89" s="45"/>
      <c r="G89" s="26"/>
      <c r="K89" s="27"/>
      <c r="L89" s="27"/>
    </row>
    <row r="90" spans="1:12" ht="15.75" x14ac:dyDescent="0.25">
      <c r="A90" s="3"/>
      <c r="B90" s="29"/>
      <c r="C90" s="29"/>
      <c r="D90" s="29"/>
      <c r="E90" s="50"/>
      <c r="F90" s="50"/>
      <c r="G90" s="26"/>
      <c r="K90" s="27"/>
      <c r="L90" s="27"/>
    </row>
    <row r="91" spans="1:12" ht="16.5" x14ac:dyDescent="0.25">
      <c r="A91" s="14" t="s">
        <v>68</v>
      </c>
      <c r="B91" s="29"/>
      <c r="C91" s="29"/>
      <c r="D91" s="29"/>
      <c r="E91" s="50"/>
      <c r="F91" s="50"/>
      <c r="G91" s="26"/>
      <c r="K91" s="27"/>
      <c r="L91" s="27"/>
    </row>
    <row r="92" spans="1:12" ht="15.75" x14ac:dyDescent="0.25">
      <c r="A92" s="3"/>
      <c r="B92" s="29"/>
      <c r="C92" s="29"/>
      <c r="D92" s="29"/>
      <c r="E92" s="50"/>
      <c r="F92" s="50"/>
      <c r="G92" s="26"/>
      <c r="K92" s="27"/>
      <c r="L92" s="27"/>
    </row>
    <row r="93" spans="1:12" ht="15.75" x14ac:dyDescent="0.25">
      <c r="A93" s="8" t="s">
        <v>63</v>
      </c>
      <c r="B93" s="85">
        <f>B77</f>
        <v>3245.3763598599999</v>
      </c>
      <c r="C93" s="85">
        <f>C77</f>
        <v>3125.9388558999999</v>
      </c>
      <c r="D93" s="85">
        <f>D77</f>
        <v>2975.10834952</v>
      </c>
      <c r="E93" s="85">
        <f>E77</f>
        <v>2999.9969435200001</v>
      </c>
      <c r="F93" s="85">
        <f>F77</f>
        <v>2953.6084632699999</v>
      </c>
      <c r="G93" s="26"/>
      <c r="K93" s="27"/>
      <c r="L93" s="27"/>
    </row>
    <row r="94" spans="1:12" ht="15.75" x14ac:dyDescent="0.25">
      <c r="A94" s="7" t="s">
        <v>46</v>
      </c>
      <c r="B94" s="53">
        <f>B63</f>
        <v>5001.9712618399999</v>
      </c>
      <c r="C94" s="53">
        <f>C63</f>
        <v>4771.8651992200002</v>
      </c>
      <c r="D94" s="53">
        <f>D63</f>
        <v>4483.9287076399996</v>
      </c>
      <c r="E94" s="89">
        <f>E63</f>
        <v>4388.2392060300008</v>
      </c>
      <c r="F94" s="89">
        <f>F79</f>
        <v>4289.9282180599994</v>
      </c>
      <c r="G94" s="26"/>
      <c r="K94" s="27"/>
      <c r="L94" s="27"/>
    </row>
    <row r="95" spans="1:12" ht="16.5" x14ac:dyDescent="0.25">
      <c r="A95" s="14" t="s">
        <v>68</v>
      </c>
      <c r="B95" s="95">
        <f>B93/B94</f>
        <v>0.64881947335822399</v>
      </c>
      <c r="C95" s="95">
        <f>C93/C94</f>
        <v>0.65507694065015909</v>
      </c>
      <c r="D95" s="95">
        <f>D93/D94</f>
        <v>0.66350482880131956</v>
      </c>
      <c r="E95" s="45">
        <f>E93/E94</f>
        <v>0.68364480664536731</v>
      </c>
      <c r="F95" s="45">
        <f>F93/F94</f>
        <v>0.6884983414957202</v>
      </c>
      <c r="G95" s="49"/>
      <c r="K95" s="27"/>
      <c r="L95" s="27"/>
    </row>
    <row r="96" spans="1:12" ht="16.5" x14ac:dyDescent="0.25">
      <c r="A96" s="14"/>
      <c r="B96" s="95"/>
      <c r="C96" s="95"/>
      <c r="D96" s="95"/>
      <c r="E96" s="45"/>
      <c r="F96" s="45"/>
      <c r="G96" s="49"/>
      <c r="K96" s="27"/>
      <c r="L96" s="27"/>
    </row>
    <row r="97" spans="1:12" ht="15.75" x14ac:dyDescent="0.25">
      <c r="A97" s="7"/>
      <c r="B97" s="95"/>
      <c r="C97" s="95"/>
      <c r="D97" s="95"/>
      <c r="E97" s="45"/>
      <c r="F97" s="45"/>
      <c r="G97" s="26"/>
      <c r="K97" s="27"/>
      <c r="L97" s="27"/>
    </row>
    <row r="98" spans="1:12" ht="16.5" x14ac:dyDescent="0.25">
      <c r="A98" s="124" t="s">
        <v>69</v>
      </c>
      <c r="B98" s="95"/>
      <c r="C98" s="95"/>
      <c r="D98" s="95"/>
      <c r="E98" s="45"/>
      <c r="F98" s="45"/>
      <c r="G98" s="26"/>
      <c r="K98" s="27"/>
      <c r="L98" s="27"/>
    </row>
    <row r="99" spans="1:12" ht="15.75" x14ac:dyDescent="0.25">
      <c r="A99" s="7"/>
      <c r="B99" s="95"/>
      <c r="C99" s="95"/>
      <c r="D99" s="95"/>
      <c r="E99" s="45"/>
      <c r="F99" s="45"/>
      <c r="G99" s="26"/>
      <c r="K99" s="27"/>
      <c r="L99" s="27"/>
    </row>
    <row r="100" spans="1:12" ht="15.75" x14ac:dyDescent="0.25">
      <c r="A100" s="8" t="s">
        <v>66</v>
      </c>
      <c r="B100" s="85">
        <f>B85</f>
        <v>771.23727824000002</v>
      </c>
      <c r="C100" s="85">
        <f>C85</f>
        <v>755.15389432999996</v>
      </c>
      <c r="D100" s="85">
        <f>D85</f>
        <v>707.57555680999997</v>
      </c>
      <c r="E100" s="85">
        <f>E85</f>
        <v>706.37195291</v>
      </c>
      <c r="F100" s="85">
        <f>F85</f>
        <v>701.68565653999997</v>
      </c>
      <c r="G100" s="26"/>
      <c r="K100" s="27"/>
      <c r="L100" s="27"/>
    </row>
    <row r="101" spans="1:12" ht="15.75" x14ac:dyDescent="0.25">
      <c r="A101" s="7" t="s">
        <v>46</v>
      </c>
      <c r="B101" s="53">
        <f>B79</f>
        <v>5001.9712618399999</v>
      </c>
      <c r="C101" s="53">
        <f>C79</f>
        <v>4771.8651992200002</v>
      </c>
      <c r="D101" s="53">
        <f>D79</f>
        <v>4483.9287076399996</v>
      </c>
      <c r="E101" s="53">
        <f>E79</f>
        <v>4388.2392060300008</v>
      </c>
      <c r="F101" s="53">
        <f>F79</f>
        <v>4289.9282180599994</v>
      </c>
      <c r="G101" s="26"/>
      <c r="K101" s="27"/>
      <c r="L101" s="27"/>
    </row>
    <row r="102" spans="1:12" ht="16.5" x14ac:dyDescent="0.25">
      <c r="A102" s="14" t="s">
        <v>69</v>
      </c>
      <c r="B102" s="95">
        <f>B100/B101</f>
        <v>0.15418666718934659</v>
      </c>
      <c r="C102" s="95">
        <f>C100/C101</f>
        <v>0.15825130484688377</v>
      </c>
      <c r="D102" s="95">
        <f>D100/D101</f>
        <v>0.15780258852117524</v>
      </c>
      <c r="E102" s="45">
        <f>E100/E101</f>
        <v>0.16096933638880825</v>
      </c>
      <c r="F102" s="45">
        <f>F100/F101</f>
        <v>0.16356582694927185</v>
      </c>
      <c r="G102" s="26"/>
      <c r="K102" s="27"/>
      <c r="L102" s="27"/>
    </row>
    <row r="103" spans="1:12" ht="16.5" x14ac:dyDescent="0.25">
      <c r="A103" s="14"/>
      <c r="B103" s="95"/>
      <c r="C103" s="95"/>
      <c r="D103" s="95"/>
      <c r="E103" s="45"/>
      <c r="F103" s="45"/>
      <c r="G103" s="26"/>
      <c r="K103" s="27"/>
      <c r="L103" s="27"/>
    </row>
    <row r="104" spans="1:12" ht="15.75" x14ac:dyDescent="0.25">
      <c r="A104" s="7"/>
      <c r="B104" s="15"/>
      <c r="C104" s="15"/>
      <c r="D104" s="15"/>
      <c r="E104" s="22"/>
      <c r="F104" s="22"/>
      <c r="G104" s="26"/>
      <c r="K104" s="27"/>
      <c r="L104" s="27"/>
    </row>
    <row r="105" spans="1:12" ht="16.5" x14ac:dyDescent="0.25">
      <c r="A105" s="14" t="s">
        <v>51</v>
      </c>
      <c r="B105" s="95">
        <f>B102+B95</f>
        <v>0.80300614054757058</v>
      </c>
      <c r="C105" s="95">
        <f>C102+C95</f>
        <v>0.81332824549704286</v>
      </c>
      <c r="D105" s="95">
        <f>D102+D95</f>
        <v>0.82130741732249479</v>
      </c>
      <c r="E105" s="79">
        <f>E102+E95</f>
        <v>0.84461414303417559</v>
      </c>
      <c r="F105" s="79">
        <f>F102+F95</f>
        <v>0.85206416844499211</v>
      </c>
      <c r="G105" s="26"/>
      <c r="K105" s="27"/>
      <c r="L105" s="27"/>
    </row>
    <row r="106" spans="1:12" ht="16.5" x14ac:dyDescent="0.25">
      <c r="A106" s="14"/>
      <c r="B106" s="95"/>
      <c r="C106" s="95"/>
      <c r="D106" s="95"/>
      <c r="E106" s="79"/>
      <c r="F106" s="79"/>
      <c r="G106" s="26"/>
      <c r="K106" s="27"/>
      <c r="L106" s="27"/>
    </row>
    <row r="107" spans="1:12" ht="15.75" x14ac:dyDescent="0.25">
      <c r="B107" s="29"/>
      <c r="C107" s="29"/>
      <c r="D107" s="29"/>
      <c r="E107" s="29"/>
      <c r="F107" s="29"/>
      <c r="G107" s="30"/>
      <c r="H107" s="30"/>
      <c r="K107" s="27"/>
      <c r="L107" s="27"/>
    </row>
    <row r="108" spans="1:12" ht="18" x14ac:dyDescent="0.25">
      <c r="A108" s="113" t="s">
        <v>20</v>
      </c>
      <c r="B108" s="29"/>
      <c r="C108" s="29"/>
      <c r="D108" s="29"/>
      <c r="E108" s="29"/>
      <c r="F108" s="29"/>
      <c r="G108" s="30"/>
      <c r="H108" s="30"/>
      <c r="K108" s="27"/>
      <c r="L108" s="27"/>
    </row>
    <row r="109" spans="1:12" ht="18" x14ac:dyDescent="0.25">
      <c r="A109" s="113"/>
      <c r="B109" s="23" t="s">
        <v>26</v>
      </c>
      <c r="C109" s="23" t="s">
        <v>23</v>
      </c>
      <c r="D109" s="23" t="s">
        <v>22</v>
      </c>
      <c r="E109" s="23" t="s">
        <v>19</v>
      </c>
      <c r="F109" s="29"/>
      <c r="G109" s="30"/>
      <c r="H109" s="30"/>
      <c r="K109" s="27"/>
      <c r="L109" s="27"/>
    </row>
    <row r="110" spans="1:12" ht="18" x14ac:dyDescent="0.25">
      <c r="A110" s="113"/>
      <c r="B110" s="23"/>
      <c r="C110" s="23"/>
      <c r="D110" s="23"/>
      <c r="E110" s="23"/>
      <c r="F110" s="29"/>
      <c r="G110" s="30"/>
      <c r="H110" s="30"/>
      <c r="K110" s="27"/>
      <c r="L110" s="27"/>
    </row>
    <row r="111" spans="1:12" ht="15.75" x14ac:dyDescent="0.25">
      <c r="A111" s="18" t="s">
        <v>70</v>
      </c>
      <c r="B111" s="29"/>
      <c r="C111" s="29"/>
      <c r="D111" s="29"/>
      <c r="E111" s="29"/>
      <c r="F111" s="29"/>
      <c r="G111" s="30"/>
      <c r="H111" s="30"/>
      <c r="K111" s="27"/>
      <c r="L111" s="27"/>
    </row>
    <row r="112" spans="1:12" ht="18" x14ac:dyDescent="0.25">
      <c r="A112" s="114"/>
      <c r="B112" s="29"/>
      <c r="C112" s="29"/>
      <c r="D112" s="29"/>
      <c r="E112" s="29"/>
      <c r="F112" s="29"/>
      <c r="G112" s="30"/>
      <c r="H112" s="30"/>
      <c r="K112" s="27"/>
      <c r="L112" s="27"/>
    </row>
    <row r="113" spans="1:12" ht="16.5" x14ac:dyDescent="0.25">
      <c r="A113" s="124" t="s">
        <v>56</v>
      </c>
      <c r="B113" s="29"/>
      <c r="C113" s="29"/>
      <c r="D113" s="29"/>
      <c r="E113" s="29"/>
      <c r="F113" s="29"/>
      <c r="G113" s="30"/>
      <c r="H113" s="30"/>
      <c r="K113" s="27"/>
      <c r="L113" s="27"/>
    </row>
    <row r="114" spans="1:12" ht="16.5" x14ac:dyDescent="0.25">
      <c r="A114" s="124"/>
      <c r="B114" s="29"/>
      <c r="C114" s="29"/>
      <c r="D114" s="29"/>
      <c r="E114" s="29"/>
      <c r="F114" s="29"/>
      <c r="G114" s="30"/>
      <c r="H114" s="30"/>
      <c r="K114" s="27"/>
      <c r="L114" s="27"/>
    </row>
    <row r="115" spans="1:12" ht="15.75" x14ac:dyDescent="0.25">
      <c r="A115" s="103" t="s">
        <v>96</v>
      </c>
      <c r="B115" s="53">
        <v>1391.0360933299999</v>
      </c>
      <c r="C115" s="53">
        <v>1382.6941691853585</v>
      </c>
      <c r="D115" s="53">
        <v>1315.0633736499999</v>
      </c>
      <c r="E115" s="53">
        <v>1271.6112138506048</v>
      </c>
      <c r="F115" s="53">
        <v>1235.0234124481799</v>
      </c>
      <c r="G115" s="30"/>
      <c r="H115" s="30"/>
      <c r="K115" s="27"/>
      <c r="L115" s="27"/>
    </row>
    <row r="116" spans="1:12" ht="15.75" x14ac:dyDescent="0.25">
      <c r="A116" s="127" t="s">
        <v>58</v>
      </c>
      <c r="B116" s="85">
        <f>-24.48431925+89.71455231</f>
        <v>65.230233060000003</v>
      </c>
      <c r="C116" s="85">
        <v>97.964593180840211</v>
      </c>
      <c r="D116" s="85">
        <v>88.516874400354254</v>
      </c>
      <c r="E116" s="85">
        <v>94.028866976065302</v>
      </c>
      <c r="F116" s="85">
        <v>90.837407457099403</v>
      </c>
      <c r="G116" s="30"/>
      <c r="H116" s="30"/>
      <c r="K116" s="27"/>
      <c r="L116" s="27"/>
    </row>
    <row r="117" spans="1:12" ht="15.75" x14ac:dyDescent="0.25">
      <c r="A117" s="128" t="s">
        <v>35</v>
      </c>
      <c r="B117" s="70">
        <f>B115-B116</f>
        <v>1325.8058602699998</v>
      </c>
      <c r="C117" s="70">
        <f>C115-C116</f>
        <v>1284.7295760045183</v>
      </c>
      <c r="D117" s="70">
        <f>D115-D116</f>
        <v>1226.5464992496456</v>
      </c>
      <c r="E117" s="70">
        <f>E115-E116</f>
        <v>1177.5823468745396</v>
      </c>
      <c r="F117" s="70">
        <f>F115-F116</f>
        <v>1144.1860049910806</v>
      </c>
      <c r="G117" s="30"/>
      <c r="H117" s="30"/>
      <c r="K117" s="27"/>
      <c r="L117" s="27"/>
    </row>
    <row r="118" spans="1:12" ht="15.75" x14ac:dyDescent="0.25">
      <c r="A118" s="128"/>
      <c r="B118" s="29"/>
      <c r="C118" s="29"/>
      <c r="D118" s="29"/>
      <c r="E118" s="29"/>
      <c r="F118" s="29"/>
      <c r="G118" s="30"/>
      <c r="H118" s="30"/>
      <c r="K118" s="27"/>
      <c r="L118" s="27"/>
    </row>
    <row r="119" spans="1:12" ht="15.75" x14ac:dyDescent="0.25">
      <c r="A119" s="128"/>
      <c r="B119" s="29"/>
      <c r="C119" s="29"/>
      <c r="D119" s="29"/>
      <c r="E119" s="29"/>
      <c r="F119" s="29"/>
      <c r="G119" s="30"/>
      <c r="H119" s="30"/>
      <c r="K119" s="27"/>
      <c r="L119" s="27"/>
    </row>
    <row r="120" spans="1:12" ht="16.5" x14ac:dyDescent="0.25">
      <c r="A120" s="124" t="s">
        <v>68</v>
      </c>
      <c r="B120" s="29"/>
      <c r="C120" s="29"/>
      <c r="D120" s="29"/>
      <c r="E120" s="29"/>
      <c r="F120" s="29"/>
      <c r="G120" s="30"/>
      <c r="H120" s="30"/>
      <c r="K120" s="27"/>
      <c r="L120" s="27"/>
    </row>
    <row r="121" spans="1:12" ht="15.75" x14ac:dyDescent="0.25">
      <c r="A121" s="129"/>
      <c r="B121" s="29"/>
      <c r="C121" s="29"/>
      <c r="D121" s="29"/>
      <c r="E121" s="29"/>
      <c r="F121" s="29"/>
      <c r="G121" s="30"/>
      <c r="H121" s="30"/>
      <c r="K121" s="27"/>
      <c r="L121" s="27"/>
    </row>
    <row r="122" spans="1:12" ht="15.75" x14ac:dyDescent="0.25">
      <c r="A122" s="127" t="s">
        <v>63</v>
      </c>
      <c r="B122" s="85">
        <f>760.52026661+125.32875916</f>
        <v>885.84902577000003</v>
      </c>
      <c r="C122" s="85">
        <f>743.74664754138+113.21074445</f>
        <v>856.95739199137995</v>
      </c>
      <c r="D122" s="85">
        <v>845.77790258102596</v>
      </c>
      <c r="E122" s="85">
        <v>779.10682645557904</v>
      </c>
      <c r="F122" s="85">
        <v>754.79314598902499</v>
      </c>
      <c r="G122" s="125"/>
      <c r="H122" s="30"/>
      <c r="K122" s="27"/>
      <c r="L122" s="27"/>
    </row>
    <row r="123" spans="1:12" ht="15.75" x14ac:dyDescent="0.25">
      <c r="A123" s="130" t="s">
        <v>46</v>
      </c>
      <c r="B123" s="53">
        <f>B117</f>
        <v>1325.8058602699998</v>
      </c>
      <c r="C123" s="53">
        <f>C117</f>
        <v>1284.7295760045183</v>
      </c>
      <c r="D123" s="53">
        <f>D117</f>
        <v>1226.5464992496456</v>
      </c>
      <c r="E123" s="53">
        <f>E117</f>
        <v>1177.5823468745396</v>
      </c>
      <c r="F123" s="53">
        <f>F117</f>
        <v>1144.1860049910806</v>
      </c>
      <c r="G123" s="125"/>
      <c r="H123" s="30"/>
      <c r="K123" s="27"/>
      <c r="L123" s="27"/>
    </row>
    <row r="124" spans="1:12" ht="16.5" x14ac:dyDescent="0.25">
      <c r="A124" s="124" t="s">
        <v>68</v>
      </c>
      <c r="B124" s="95">
        <f>B122/B123</f>
        <v>0.66815893059154019</v>
      </c>
      <c r="C124" s="95">
        <f>C122/C123</f>
        <v>0.66703328700231157</v>
      </c>
      <c r="D124" s="95">
        <f>D122/D123</f>
        <v>0.68956040647333028</v>
      </c>
      <c r="E124" s="45">
        <f>E122/E123</f>
        <v>0.66161557917663449</v>
      </c>
      <c r="F124" s="45">
        <f>F122/F123</f>
        <v>0.65967696047366786</v>
      </c>
      <c r="G124" s="125"/>
      <c r="H124" s="30"/>
      <c r="K124" s="27"/>
      <c r="L124" s="27"/>
    </row>
    <row r="125" spans="1:12" ht="16.5" x14ac:dyDescent="0.25">
      <c r="A125" s="124"/>
      <c r="B125" s="95"/>
      <c r="C125" s="95"/>
      <c r="D125" s="95"/>
      <c r="E125" s="45"/>
      <c r="F125" s="45"/>
      <c r="G125" s="125"/>
      <c r="H125" s="30"/>
      <c r="K125" s="27"/>
      <c r="L125" s="27"/>
    </row>
    <row r="126" spans="1:12" ht="18" x14ac:dyDescent="0.25">
      <c r="A126" s="114"/>
      <c r="B126" s="29"/>
      <c r="C126" s="29"/>
      <c r="D126" s="29"/>
      <c r="E126" s="29"/>
      <c r="F126" s="29"/>
      <c r="G126" s="125"/>
      <c r="H126" s="30"/>
      <c r="K126" s="27"/>
      <c r="L126" s="27"/>
    </row>
    <row r="127" spans="1:12" ht="16.5" x14ac:dyDescent="0.25">
      <c r="A127" s="124" t="s">
        <v>69</v>
      </c>
      <c r="B127" s="95"/>
      <c r="C127" s="95"/>
      <c r="D127" s="95"/>
      <c r="E127" s="45"/>
      <c r="F127" s="29"/>
      <c r="G127" s="125"/>
      <c r="H127" s="30"/>
      <c r="K127" s="27"/>
      <c r="L127" s="27"/>
    </row>
    <row r="128" spans="1:12" ht="15.75" x14ac:dyDescent="0.25">
      <c r="A128" s="130"/>
      <c r="B128" s="95"/>
      <c r="C128" s="95"/>
      <c r="D128" s="95"/>
      <c r="E128" s="45"/>
      <c r="F128" s="29"/>
      <c r="G128" s="125"/>
      <c r="H128" s="30"/>
      <c r="K128" s="27"/>
      <c r="L128" s="27"/>
    </row>
    <row r="129" spans="1:12" ht="15.75" x14ac:dyDescent="0.25">
      <c r="A129" s="127" t="s">
        <v>66</v>
      </c>
      <c r="B129" s="85">
        <f>340.92557665-125.32875916</f>
        <v>215.59681748999998</v>
      </c>
      <c r="C129" s="85">
        <f>313.876984519504-113.21074445</f>
        <v>200.666240069504</v>
      </c>
      <c r="D129" s="85">
        <v>199.12874181691399</v>
      </c>
      <c r="E129" s="85">
        <v>188.11967640401301</v>
      </c>
      <c r="F129" s="85">
        <v>186.958559832557</v>
      </c>
      <c r="G129" s="125"/>
      <c r="H129" s="30"/>
      <c r="K129" s="27"/>
      <c r="L129" s="27"/>
    </row>
    <row r="130" spans="1:12" ht="15.75" x14ac:dyDescent="0.25">
      <c r="A130" s="130" t="s">
        <v>46</v>
      </c>
      <c r="B130" s="53">
        <f>B123</f>
        <v>1325.8058602699998</v>
      </c>
      <c r="C130" s="53">
        <f>C123</f>
        <v>1284.7295760045183</v>
      </c>
      <c r="D130" s="53">
        <f>D123</f>
        <v>1226.5464992496456</v>
      </c>
      <c r="E130" s="53">
        <f>E123</f>
        <v>1177.5823468745396</v>
      </c>
      <c r="F130" s="53">
        <f>F123</f>
        <v>1144.1860049910806</v>
      </c>
      <c r="G130" s="30"/>
      <c r="H130" s="30"/>
      <c r="J130" s="30"/>
      <c r="K130" s="27"/>
      <c r="L130" s="27"/>
    </row>
    <row r="131" spans="1:12" ht="16.5" x14ac:dyDescent="0.25">
      <c r="A131" s="124" t="s">
        <v>69</v>
      </c>
      <c r="B131" s="95">
        <f>B129/B130</f>
        <v>0.16261567696351392</v>
      </c>
      <c r="C131" s="95">
        <f>C129/C130</f>
        <v>0.15619336848581922</v>
      </c>
      <c r="D131" s="95">
        <f>D129/D130</f>
        <v>0.16234911757420803</v>
      </c>
      <c r="E131" s="45">
        <f>E129/E130</f>
        <v>0.15975076129776206</v>
      </c>
      <c r="F131" s="45">
        <f>F129/F130</f>
        <v>0.16339874724653219</v>
      </c>
      <c r="G131" s="30"/>
      <c r="H131" s="30"/>
      <c r="J131" s="30"/>
      <c r="K131" s="27"/>
      <c r="L131" s="27"/>
    </row>
    <row r="132" spans="1:12" ht="16.5" x14ac:dyDescent="0.25">
      <c r="A132" s="124"/>
      <c r="B132" s="95"/>
      <c r="C132" s="95"/>
      <c r="D132" s="95"/>
      <c r="E132" s="45"/>
      <c r="F132" s="45"/>
      <c r="G132" s="30"/>
      <c r="H132" s="30"/>
      <c r="J132" s="30"/>
      <c r="K132" s="27"/>
      <c r="L132" s="27"/>
    </row>
    <row r="133" spans="1:12" ht="15.75" x14ac:dyDescent="0.25">
      <c r="B133" s="29"/>
      <c r="C133" s="29"/>
      <c r="D133" s="29"/>
      <c r="E133" s="29"/>
      <c r="F133" s="45"/>
      <c r="G133" s="30"/>
      <c r="H133" s="30"/>
      <c r="J133" s="30"/>
      <c r="K133" s="27"/>
      <c r="L133" s="27"/>
    </row>
    <row r="134" spans="1:12" ht="16.5" x14ac:dyDescent="0.25">
      <c r="A134" s="124" t="s">
        <v>51</v>
      </c>
      <c r="B134" s="95">
        <f>B124+B131</f>
        <v>0.83077460755505417</v>
      </c>
      <c r="C134" s="95">
        <f>C124+C131</f>
        <v>0.82322665548813079</v>
      </c>
      <c r="D134" s="95">
        <f>D124+D131</f>
        <v>0.85190952404753828</v>
      </c>
      <c r="E134" s="45">
        <f>E124+E131</f>
        <v>0.82136634047439649</v>
      </c>
      <c r="F134" s="45">
        <f>F124+F131</f>
        <v>0.8230757077202</v>
      </c>
      <c r="G134" s="30"/>
      <c r="H134" s="30"/>
      <c r="J134" s="30"/>
      <c r="K134" s="27"/>
      <c r="L134" s="27"/>
    </row>
    <row r="135" spans="1:12" ht="16.5" x14ac:dyDescent="0.25">
      <c r="A135" s="124"/>
      <c r="B135" s="95"/>
      <c r="C135" s="95"/>
      <c r="D135" s="95"/>
      <c r="E135" s="45"/>
      <c r="F135" s="45"/>
      <c r="G135" s="30"/>
      <c r="H135" s="30"/>
      <c r="J135" s="30"/>
      <c r="K135" s="27"/>
      <c r="L135" s="27"/>
    </row>
    <row r="136" spans="1:12" ht="16.5" x14ac:dyDescent="0.25">
      <c r="A136" s="124"/>
      <c r="B136" s="29"/>
      <c r="C136" s="29"/>
      <c r="D136" s="29"/>
      <c r="E136" s="29"/>
      <c r="G136" s="30"/>
      <c r="H136" s="30"/>
      <c r="K136" s="27"/>
      <c r="L136" s="27"/>
    </row>
    <row r="137" spans="1:12" ht="18" x14ac:dyDescent="0.25">
      <c r="A137" s="113" t="s">
        <v>24</v>
      </c>
      <c r="B137" s="29"/>
      <c r="C137" s="29"/>
      <c r="D137" s="29"/>
      <c r="E137" s="29"/>
      <c r="G137" s="30"/>
      <c r="H137" s="30"/>
      <c r="K137" s="27"/>
      <c r="L137" s="27"/>
    </row>
    <row r="138" spans="1:12" ht="15.75" x14ac:dyDescent="0.25">
      <c r="B138" s="23" t="s">
        <v>26</v>
      </c>
      <c r="C138" s="23" t="s">
        <v>23</v>
      </c>
      <c r="D138" s="23" t="s">
        <v>22</v>
      </c>
      <c r="E138" s="23" t="s">
        <v>19</v>
      </c>
      <c r="G138" s="30"/>
      <c r="H138" s="30"/>
      <c r="K138" s="27"/>
      <c r="L138" s="27"/>
    </row>
    <row r="139" spans="1:12" ht="16.5" x14ac:dyDescent="0.25">
      <c r="A139" s="124" t="s">
        <v>56</v>
      </c>
      <c r="B139" s="29"/>
      <c r="C139" s="29"/>
      <c r="D139" s="29"/>
      <c r="E139" s="29"/>
      <c r="G139" s="30"/>
      <c r="H139" s="30"/>
      <c r="K139" s="27"/>
      <c r="L139" s="27"/>
    </row>
    <row r="140" spans="1:12" ht="15.75" x14ac:dyDescent="0.25">
      <c r="B140" s="29"/>
      <c r="C140" s="29"/>
      <c r="D140" s="29"/>
      <c r="E140" s="29"/>
      <c r="G140" s="30"/>
      <c r="H140" s="30"/>
      <c r="K140" s="27"/>
      <c r="L140" s="27"/>
    </row>
    <row r="141" spans="1:12" ht="15.75" x14ac:dyDescent="0.25">
      <c r="A141" s="103" t="s">
        <v>71</v>
      </c>
      <c r="B141" s="53">
        <v>1313.1645693199998</v>
      </c>
      <c r="C141" s="53">
        <v>1127.4000000000001</v>
      </c>
      <c r="D141" s="107" t="s">
        <v>25</v>
      </c>
      <c r="E141" s="107" t="s">
        <v>25</v>
      </c>
      <c r="G141" s="30"/>
      <c r="H141" s="30"/>
      <c r="K141" s="27"/>
      <c r="L141" s="27"/>
    </row>
    <row r="142" spans="1:12" ht="15.75" x14ac:dyDescent="0.25">
      <c r="A142" s="130" t="s">
        <v>72</v>
      </c>
      <c r="B142" s="53">
        <v>-117.02924148000001</v>
      </c>
      <c r="C142" s="53">
        <v>-10.1</v>
      </c>
      <c r="D142" s="107" t="s">
        <v>25</v>
      </c>
      <c r="E142" s="107" t="s">
        <v>25</v>
      </c>
      <c r="G142" s="30"/>
      <c r="H142" s="30"/>
      <c r="K142" s="27"/>
      <c r="L142" s="27"/>
    </row>
    <row r="143" spans="1:12" ht="15.75" x14ac:dyDescent="0.25">
      <c r="A143" s="127" t="s">
        <v>73</v>
      </c>
      <c r="B143" s="85">
        <v>-602.32586328999992</v>
      </c>
      <c r="C143" s="85">
        <v>-618.4</v>
      </c>
      <c r="D143" s="107" t="s">
        <v>25</v>
      </c>
      <c r="E143" s="107" t="s">
        <v>25</v>
      </c>
      <c r="G143" s="30"/>
      <c r="H143" s="30"/>
      <c r="K143" s="27"/>
      <c r="L143" s="27"/>
    </row>
    <row r="144" spans="1:12" ht="15.75" x14ac:dyDescent="0.25">
      <c r="A144" s="128" t="s">
        <v>74</v>
      </c>
      <c r="B144" s="70">
        <f>SUM(B141:B143)</f>
        <v>593.8094645499998</v>
      </c>
      <c r="C144" s="70">
        <f>SUM(C141:C143)</f>
        <v>498.9000000000002</v>
      </c>
      <c r="D144" s="107" t="s">
        <v>25</v>
      </c>
      <c r="E144" s="107" t="s">
        <v>25</v>
      </c>
      <c r="G144" s="30"/>
      <c r="H144" s="30"/>
      <c r="K144" s="27"/>
      <c r="L144" s="27"/>
    </row>
    <row r="145" spans="1:12" ht="15.75" x14ac:dyDescent="0.25">
      <c r="B145" s="29"/>
      <c r="C145" s="29"/>
      <c r="D145" s="29"/>
      <c r="E145" s="29"/>
      <c r="G145" s="30"/>
      <c r="H145" s="30"/>
      <c r="K145" s="27"/>
      <c r="L145" s="27"/>
    </row>
    <row r="146" spans="1:12" ht="15.75" x14ac:dyDescent="0.25">
      <c r="B146" s="29"/>
      <c r="C146" s="29"/>
      <c r="D146" s="29"/>
      <c r="E146" s="29"/>
      <c r="G146" s="30"/>
      <c r="H146" s="30"/>
      <c r="K146" s="27"/>
      <c r="L146" s="27"/>
    </row>
    <row r="147" spans="1:12" ht="16.5" x14ac:dyDescent="0.25">
      <c r="A147" s="124" t="s">
        <v>62</v>
      </c>
      <c r="B147" s="29"/>
      <c r="C147" s="29"/>
      <c r="D147" s="29"/>
      <c r="E147" s="29"/>
      <c r="G147" s="30"/>
      <c r="H147" s="30"/>
      <c r="K147" s="27"/>
      <c r="L147" s="27"/>
    </row>
    <row r="148" spans="1:12" ht="15.75" x14ac:dyDescent="0.25">
      <c r="B148" s="29"/>
      <c r="C148" s="29"/>
      <c r="D148" s="29"/>
      <c r="E148" s="29"/>
      <c r="G148" s="30"/>
      <c r="H148" s="30"/>
      <c r="K148" s="27"/>
      <c r="L148" s="27"/>
    </row>
    <row r="149" spans="1:12" ht="15.75" x14ac:dyDescent="0.25">
      <c r="A149" s="8" t="s">
        <v>63</v>
      </c>
      <c r="B149" s="85">
        <v>496.74710436999999</v>
      </c>
      <c r="C149" s="85">
        <v>310.10000000000002</v>
      </c>
      <c r="D149" s="107" t="s">
        <v>25</v>
      </c>
      <c r="E149" s="107" t="s">
        <v>25</v>
      </c>
      <c r="G149" s="30"/>
      <c r="H149" s="30"/>
      <c r="K149" s="27"/>
      <c r="L149" s="27"/>
    </row>
    <row r="150" spans="1:12" ht="15.75" x14ac:dyDescent="0.25">
      <c r="A150" s="7" t="s">
        <v>46</v>
      </c>
      <c r="B150" s="53">
        <f>B144</f>
        <v>593.8094645499998</v>
      </c>
      <c r="C150" s="53">
        <f>C144</f>
        <v>498.9000000000002</v>
      </c>
      <c r="D150" s="107" t="s">
        <v>25</v>
      </c>
      <c r="E150" s="107" t="s">
        <v>25</v>
      </c>
      <c r="G150" s="30"/>
      <c r="H150" s="30"/>
      <c r="K150" s="27"/>
      <c r="L150" s="27"/>
    </row>
    <row r="151" spans="1:12" ht="16.5" x14ac:dyDescent="0.25">
      <c r="A151" s="14" t="s">
        <v>62</v>
      </c>
      <c r="B151" s="95">
        <f>B149/B150</f>
        <v>0.83654292163639477</v>
      </c>
      <c r="C151" s="95">
        <f>C149/C150</f>
        <v>0.62156744838644995</v>
      </c>
      <c r="D151" s="107" t="s">
        <v>25</v>
      </c>
      <c r="E151" s="107" t="s">
        <v>25</v>
      </c>
      <c r="G151" s="30"/>
      <c r="H151" s="30"/>
      <c r="K151" s="27"/>
      <c r="L151" s="27"/>
    </row>
    <row r="152" spans="1:12" ht="15.75" x14ac:dyDescent="0.25">
      <c r="B152" s="29"/>
      <c r="C152" s="29"/>
      <c r="D152" s="29"/>
      <c r="E152" s="29"/>
      <c r="G152" s="30"/>
      <c r="H152" s="30"/>
      <c r="K152" s="27"/>
      <c r="L152" s="27"/>
    </row>
    <row r="153" spans="1:12" ht="15.75" x14ac:dyDescent="0.25">
      <c r="B153" s="29"/>
      <c r="C153" s="29"/>
      <c r="D153" s="29"/>
      <c r="E153" s="29"/>
      <c r="G153" s="30"/>
      <c r="H153" s="30"/>
      <c r="K153" s="27"/>
      <c r="L153" s="27"/>
    </row>
    <row r="154" spans="1:12" ht="16.5" x14ac:dyDescent="0.25">
      <c r="A154" s="124" t="s">
        <v>75</v>
      </c>
      <c r="B154" s="29"/>
      <c r="C154" s="29"/>
      <c r="D154" s="29"/>
      <c r="E154" s="29"/>
      <c r="G154" s="30"/>
      <c r="H154" s="30"/>
      <c r="K154" s="27"/>
      <c r="L154" s="27"/>
    </row>
    <row r="155" spans="1:12" ht="15.75" x14ac:dyDescent="0.25">
      <c r="B155" s="29"/>
      <c r="C155" s="29"/>
      <c r="D155" s="29"/>
      <c r="E155" s="29"/>
      <c r="G155" s="30"/>
      <c r="H155" s="30"/>
      <c r="K155" s="27"/>
      <c r="L155" s="27"/>
    </row>
    <row r="156" spans="1:12" ht="15.75" x14ac:dyDescent="0.25">
      <c r="A156" s="7" t="s">
        <v>63</v>
      </c>
      <c r="B156" s="53">
        <f>B149</f>
        <v>496.74710436999999</v>
      </c>
      <c r="C156" s="53">
        <v>310.10000000000002</v>
      </c>
      <c r="D156" s="107" t="s">
        <v>25</v>
      </c>
      <c r="E156" s="107" t="s">
        <v>25</v>
      </c>
      <c r="G156" s="30"/>
      <c r="H156" s="30"/>
      <c r="K156" s="27"/>
      <c r="L156" s="27"/>
    </row>
    <row r="157" spans="1:12" ht="15.75" x14ac:dyDescent="0.25">
      <c r="A157" s="7" t="s">
        <v>76</v>
      </c>
      <c r="B157" s="53">
        <v>81.421729780000007</v>
      </c>
      <c r="C157" s="53">
        <v>46</v>
      </c>
      <c r="D157" s="107" t="s">
        <v>25</v>
      </c>
      <c r="E157" s="107" t="s">
        <v>25</v>
      </c>
      <c r="G157" s="30"/>
      <c r="H157" s="30"/>
      <c r="K157" s="27"/>
      <c r="L157" s="27"/>
    </row>
    <row r="158" spans="1:12" ht="15.75" x14ac:dyDescent="0.25">
      <c r="A158" s="7" t="s">
        <v>77</v>
      </c>
      <c r="B158" s="53">
        <v>297.58140312</v>
      </c>
      <c r="C158" s="53">
        <v>283.89999999999998</v>
      </c>
      <c r="D158" s="107" t="s">
        <v>25</v>
      </c>
      <c r="E158" s="107" t="s">
        <v>25</v>
      </c>
      <c r="G158" s="30"/>
      <c r="H158" s="30"/>
      <c r="K158" s="27"/>
      <c r="L158" s="27"/>
    </row>
    <row r="159" spans="1:12" ht="15.75" x14ac:dyDescent="0.25">
      <c r="A159" s="8" t="s">
        <v>78</v>
      </c>
      <c r="B159" s="85">
        <v>30.069451369999999</v>
      </c>
      <c r="C159" s="85">
        <v>26</v>
      </c>
      <c r="D159" s="107" t="s">
        <v>25</v>
      </c>
      <c r="E159" s="107" t="s">
        <v>25</v>
      </c>
      <c r="G159" s="30"/>
      <c r="H159" s="30"/>
      <c r="K159" s="27"/>
      <c r="L159" s="27"/>
    </row>
    <row r="160" spans="1:12" ht="15.75" x14ac:dyDescent="0.25">
      <c r="A160" s="7" t="s">
        <v>46</v>
      </c>
      <c r="B160" s="53">
        <f>B144</f>
        <v>593.8094645499998</v>
      </c>
      <c r="C160" s="53">
        <v>498.9</v>
      </c>
      <c r="D160" s="107" t="s">
        <v>25</v>
      </c>
      <c r="E160" s="107" t="s">
        <v>25</v>
      </c>
      <c r="G160" s="30"/>
      <c r="H160" s="30"/>
      <c r="K160" s="27"/>
      <c r="L160" s="27"/>
    </row>
    <row r="161" spans="1:12" ht="15.75" x14ac:dyDescent="0.25">
      <c r="A161" s="7" t="s">
        <v>79</v>
      </c>
      <c r="B161" s="53">
        <v>415.90058339000001</v>
      </c>
      <c r="C161" s="53">
        <v>330.9</v>
      </c>
      <c r="D161" s="107" t="s">
        <v>25</v>
      </c>
      <c r="E161" s="107" t="s">
        <v>25</v>
      </c>
      <c r="G161" s="30"/>
      <c r="H161" s="30"/>
      <c r="K161" s="27"/>
      <c r="L161" s="27"/>
    </row>
    <row r="162" spans="1:12" ht="16.5" x14ac:dyDescent="0.25">
      <c r="A162" s="14" t="s">
        <v>75</v>
      </c>
      <c r="B162" s="95">
        <f>SUM(B156:B159)/SUM(B160:B161)</f>
        <v>0.89710871996177921</v>
      </c>
      <c r="C162" s="95">
        <f>SUM(C156:C159)/SUM(C160:C161)</f>
        <v>0.80260303687635581</v>
      </c>
      <c r="D162" s="107" t="s">
        <v>25</v>
      </c>
      <c r="E162" s="107" t="s">
        <v>25</v>
      </c>
      <c r="G162" s="30"/>
      <c r="H162" s="30"/>
      <c r="K162" s="27"/>
      <c r="L162" s="27"/>
    </row>
    <row r="163" spans="1:12" ht="15.75" x14ac:dyDescent="0.25">
      <c r="B163" s="29"/>
      <c r="C163" s="29"/>
      <c r="D163" s="29"/>
      <c r="E163" s="29"/>
      <c r="G163" s="30"/>
      <c r="H163" s="30"/>
      <c r="K163" s="27"/>
      <c r="L163" s="27"/>
    </row>
    <row r="164" spans="1:12" ht="15.75" x14ac:dyDescent="0.25">
      <c r="B164" s="29"/>
      <c r="C164" s="29"/>
      <c r="D164" s="29"/>
      <c r="E164" s="29"/>
      <c r="G164" s="30"/>
      <c r="H164" s="30"/>
      <c r="K164" s="27"/>
      <c r="L164" s="27"/>
    </row>
    <row r="165" spans="1:12" ht="18" x14ac:dyDescent="0.25">
      <c r="A165" s="113" t="s">
        <v>21</v>
      </c>
      <c r="B165" s="29"/>
      <c r="C165" s="29"/>
      <c r="D165" s="29"/>
      <c r="E165" s="29"/>
      <c r="F165" s="45"/>
      <c r="G165" s="30"/>
      <c r="H165" s="30"/>
      <c r="K165" s="27"/>
      <c r="L165" s="27"/>
    </row>
    <row r="166" spans="1:12" ht="15.75" x14ac:dyDescent="0.25">
      <c r="B166" s="23" t="s">
        <v>26</v>
      </c>
      <c r="C166" s="23" t="s">
        <v>23</v>
      </c>
      <c r="D166" s="23" t="s">
        <v>22</v>
      </c>
      <c r="E166" s="23" t="s">
        <v>19</v>
      </c>
      <c r="F166" s="45"/>
      <c r="G166" s="30"/>
      <c r="H166" s="30"/>
      <c r="K166" s="27"/>
      <c r="L166" s="27"/>
    </row>
    <row r="167" spans="1:12" ht="16.5" x14ac:dyDescent="0.25">
      <c r="A167" s="12" t="s">
        <v>59</v>
      </c>
      <c r="B167" s="96"/>
      <c r="C167" s="96"/>
      <c r="D167" s="96"/>
      <c r="E167" s="31"/>
      <c r="F167" s="31"/>
      <c r="G167" s="30"/>
      <c r="H167" s="30"/>
      <c r="J167" s="32"/>
      <c r="K167" s="27"/>
      <c r="L167" s="27"/>
    </row>
    <row r="168" spans="1:12" ht="16.5" x14ac:dyDescent="0.25">
      <c r="A168" s="12"/>
      <c r="B168" s="29"/>
      <c r="C168" s="29"/>
      <c r="D168" s="29"/>
      <c r="E168" s="29"/>
      <c r="F168" s="29"/>
      <c r="G168" s="30"/>
      <c r="H168" s="30"/>
      <c r="J168" s="32"/>
      <c r="K168" s="27"/>
      <c r="L168" s="27"/>
    </row>
    <row r="169" spans="1:12" ht="15.75" x14ac:dyDescent="0.25">
      <c r="A169" s="18" t="s">
        <v>60</v>
      </c>
      <c r="B169" s="53">
        <v>-264.3081213800001</v>
      </c>
      <c r="C169" s="53">
        <v>337.7454577229995</v>
      </c>
      <c r="D169" s="53">
        <v>213.15045546199974</v>
      </c>
      <c r="E169" s="53">
        <v>308.41380463189961</v>
      </c>
      <c r="F169" s="53">
        <v>112.4597727604</v>
      </c>
      <c r="G169" s="30"/>
      <c r="H169" s="30"/>
      <c r="J169" s="32"/>
      <c r="K169" s="27"/>
      <c r="L169" s="27"/>
    </row>
    <row r="170" spans="1:12" ht="15.75" x14ac:dyDescent="0.25">
      <c r="A170" s="18" t="s">
        <v>31</v>
      </c>
      <c r="B170" s="118" t="s">
        <v>25</v>
      </c>
      <c r="C170" s="53">
        <f>C172-C171</f>
        <v>-36.654590519999999</v>
      </c>
      <c r="D170" s="53">
        <f>D172-D171</f>
        <v>3.507630589999998</v>
      </c>
      <c r="E170" s="53">
        <f>E172-E171</f>
        <v>0.83104228000001257</v>
      </c>
      <c r="F170" s="53">
        <f>F172-F171</f>
        <v>3.8858592000000023</v>
      </c>
      <c r="G170" s="30"/>
      <c r="H170" s="30"/>
      <c r="J170" s="32"/>
      <c r="K170" s="27"/>
      <c r="L170" s="27"/>
    </row>
    <row r="171" spans="1:12" ht="15.75" x14ac:dyDescent="0.25">
      <c r="A171" s="108" t="s">
        <v>37</v>
      </c>
      <c r="B171" s="118" t="s">
        <v>25</v>
      </c>
      <c r="C171" s="88">
        <f>D172</f>
        <v>36.654590519999999</v>
      </c>
      <c r="D171" s="88">
        <f>E172</f>
        <v>33.146959930000001</v>
      </c>
      <c r="E171" s="88">
        <v>32.315917649999989</v>
      </c>
      <c r="F171" s="88">
        <v>28.430058450000001</v>
      </c>
      <c r="G171" s="30"/>
      <c r="H171" s="30"/>
      <c r="J171" s="32"/>
      <c r="K171" s="27"/>
      <c r="L171" s="27"/>
    </row>
    <row r="172" spans="1:12" ht="15.75" x14ac:dyDescent="0.25">
      <c r="A172" s="108" t="s">
        <v>38</v>
      </c>
      <c r="B172" s="118" t="s">
        <v>25</v>
      </c>
      <c r="C172" s="88">
        <v>0</v>
      </c>
      <c r="D172" s="88">
        <v>36.654590519999999</v>
      </c>
      <c r="E172" s="88">
        <v>33.146959930000001</v>
      </c>
      <c r="F172" s="88">
        <v>32.315917650000003</v>
      </c>
      <c r="G172" s="30"/>
      <c r="H172" s="30"/>
      <c r="J172" s="32"/>
      <c r="K172" s="27"/>
      <c r="L172" s="27"/>
    </row>
    <row r="173" spans="1:12" ht="15.75" x14ac:dyDescent="0.25">
      <c r="A173" s="80" t="s">
        <v>34</v>
      </c>
      <c r="B173" s="98" t="s">
        <v>25</v>
      </c>
      <c r="C173" s="85">
        <f>C170*-0.2</f>
        <v>7.3309181040000002</v>
      </c>
      <c r="D173" s="85">
        <f>D170*-0.2</f>
        <v>-0.70152611799999964</v>
      </c>
      <c r="E173" s="85">
        <f>E170*-0.2</f>
        <v>-0.16620845600000253</v>
      </c>
      <c r="F173" s="85">
        <f>F170*-0.2</f>
        <v>-0.7771718400000005</v>
      </c>
      <c r="G173" s="30"/>
      <c r="H173" s="30"/>
      <c r="J173" s="32"/>
      <c r="K173" s="27"/>
      <c r="L173" s="27"/>
    </row>
    <row r="174" spans="1:12" ht="15.75" x14ac:dyDescent="0.25">
      <c r="A174" s="42" t="s">
        <v>80</v>
      </c>
      <c r="B174" s="53">
        <f>(B175+B176)/2</f>
        <v>1528.2794995219533</v>
      </c>
      <c r="C174" s="53">
        <f>(C175+C176)/2</f>
        <v>1659.4908714239532</v>
      </c>
      <c r="D174" s="53">
        <f>(D175+D176)/2</f>
        <v>1474.286420164</v>
      </c>
      <c r="E174" s="53">
        <f>(E175+E176)/2</f>
        <v>1289.11624702009</v>
      </c>
      <c r="F174" s="53">
        <f>(F175+F176)/2</f>
        <v>1304.44856845299</v>
      </c>
      <c r="G174" s="30"/>
      <c r="H174" s="30"/>
      <c r="J174" s="32"/>
      <c r="K174" s="27"/>
      <c r="L174" s="27"/>
    </row>
    <row r="175" spans="1:12" ht="15.75" x14ac:dyDescent="0.25">
      <c r="A175" s="108" t="s">
        <v>37</v>
      </c>
      <c r="B175" s="88">
        <v>1738.0840455272066</v>
      </c>
      <c r="C175" s="88">
        <f>D176</f>
        <v>1580.8976973207</v>
      </c>
      <c r="D175" s="88">
        <f>E176</f>
        <v>1367.6751430073</v>
      </c>
      <c r="E175" s="84">
        <v>1210.55735103288</v>
      </c>
      <c r="F175" s="84">
        <v>1398.3397858731</v>
      </c>
      <c r="G175" s="30"/>
      <c r="H175" s="30"/>
      <c r="I175" s="33"/>
      <c r="J175" s="32"/>
      <c r="K175" s="27"/>
      <c r="L175" s="27"/>
    </row>
    <row r="176" spans="1:12" ht="15.75" x14ac:dyDescent="0.25">
      <c r="A176" s="108" t="s">
        <v>38</v>
      </c>
      <c r="B176" s="88">
        <v>1318.4749535167</v>
      </c>
      <c r="C176" s="88">
        <v>1738.0840455272066</v>
      </c>
      <c r="D176" s="88">
        <v>1580.8976973207</v>
      </c>
      <c r="E176" s="88">
        <v>1367.6751430073</v>
      </c>
      <c r="F176" s="88">
        <v>1210.55735103288</v>
      </c>
      <c r="G176" s="30"/>
      <c r="H176" s="30"/>
      <c r="I176" s="33"/>
      <c r="J176" s="27"/>
      <c r="K176" s="27"/>
      <c r="L176" s="27"/>
    </row>
    <row r="177" spans="1:12" ht="15.75" x14ac:dyDescent="0.25">
      <c r="A177" s="42" t="s">
        <v>43</v>
      </c>
      <c r="B177" s="118" t="s">
        <v>25</v>
      </c>
      <c r="C177" s="53">
        <f>(C171+C172)/2*0.8</f>
        <v>14.661836208</v>
      </c>
      <c r="D177" s="53">
        <f>(D171+D172)/2*0.8</f>
        <v>27.920620180000004</v>
      </c>
      <c r="E177" s="53">
        <f>(E171+E172)/2*0.8</f>
        <v>26.185151032</v>
      </c>
      <c r="F177" s="53">
        <f>(F171+F172)/2*0.8</f>
        <v>24.298390440000006</v>
      </c>
      <c r="G177" s="30"/>
      <c r="H177" s="30"/>
      <c r="I177" s="33"/>
      <c r="J177" s="27"/>
      <c r="K177" s="27"/>
      <c r="L177" s="27"/>
    </row>
    <row r="178" spans="1:12" ht="16.5" x14ac:dyDescent="0.25">
      <c r="A178" s="12" t="s">
        <v>59</v>
      </c>
      <c r="B178" s="95">
        <f>B169/B174</f>
        <v>-0.17294488440280448</v>
      </c>
      <c r="C178" s="95">
        <f>(C169+C170+C173)/(C174+C177)</f>
        <v>0.18422559895581705</v>
      </c>
      <c r="D178" s="95">
        <f>(D169+D170+D173)/(D174+D177)</f>
        <v>0.14375951791874605</v>
      </c>
      <c r="E178" s="79">
        <f>(E169+E170+E173)/(E174+E177)</f>
        <v>0.23498693068648221</v>
      </c>
      <c r="F178" s="79">
        <f>(F169+F170+F173)/(F174+F177)</f>
        <v>8.6975521822968291E-2</v>
      </c>
      <c r="G178" s="30"/>
      <c r="H178" s="30"/>
      <c r="I178" s="33"/>
      <c r="J178" s="27"/>
      <c r="K178" s="27"/>
      <c r="L178" s="27"/>
    </row>
    <row r="179" spans="1:12" ht="16.5" x14ac:dyDescent="0.25">
      <c r="A179" s="12"/>
      <c r="B179" s="95"/>
      <c r="C179" s="95"/>
      <c r="D179" s="95"/>
      <c r="E179" s="79"/>
      <c r="F179" s="79"/>
      <c r="G179" s="30"/>
      <c r="H179" s="30"/>
      <c r="I179" s="33"/>
      <c r="J179" s="27"/>
      <c r="K179" s="27"/>
      <c r="L179" s="27"/>
    </row>
    <row r="180" spans="1:12" ht="15.75" x14ac:dyDescent="0.25">
      <c r="B180" s="97"/>
      <c r="C180" s="97"/>
      <c r="D180" s="97"/>
      <c r="E180" s="34"/>
      <c r="F180" s="79"/>
      <c r="G180" s="30"/>
      <c r="H180" s="30"/>
      <c r="I180" s="49"/>
      <c r="J180" s="35"/>
      <c r="K180" s="35"/>
      <c r="L180" s="27"/>
    </row>
    <row r="181" spans="1:12" ht="16.5" x14ac:dyDescent="0.25">
      <c r="A181" s="126" t="s">
        <v>81</v>
      </c>
      <c r="B181" s="97"/>
      <c r="C181" s="97"/>
      <c r="D181" s="97"/>
      <c r="E181" s="34"/>
      <c r="F181" s="34"/>
      <c r="G181" s="30"/>
      <c r="H181" s="30"/>
      <c r="I181" s="49"/>
      <c r="J181" s="35"/>
      <c r="K181" s="35"/>
      <c r="L181" s="27"/>
    </row>
    <row r="182" spans="1:12" ht="16.5" x14ac:dyDescent="0.25">
      <c r="A182" s="12"/>
      <c r="B182" s="97"/>
      <c r="C182" s="97"/>
      <c r="D182" s="97"/>
      <c r="E182" s="34"/>
      <c r="F182" s="34"/>
      <c r="G182" s="30"/>
      <c r="H182" s="30"/>
      <c r="I182" s="49"/>
      <c r="J182" s="35"/>
      <c r="K182" s="35"/>
      <c r="L182" s="27"/>
    </row>
    <row r="183" spans="1:12" ht="15.75" x14ac:dyDescent="0.25">
      <c r="A183" s="18" t="s">
        <v>82</v>
      </c>
      <c r="B183" s="97"/>
      <c r="C183" s="97"/>
      <c r="D183" s="97"/>
      <c r="E183" s="34"/>
      <c r="F183" s="34"/>
      <c r="G183" s="30"/>
      <c r="H183" s="30"/>
      <c r="I183" s="49"/>
      <c r="J183" s="35"/>
      <c r="K183" s="35"/>
      <c r="L183" s="27"/>
    </row>
    <row r="184" spans="1:12" ht="15.75" x14ac:dyDescent="0.25">
      <c r="B184" s="97"/>
      <c r="C184" s="97"/>
      <c r="D184" s="97"/>
      <c r="E184" s="34"/>
      <c r="F184" s="34"/>
      <c r="G184" s="30"/>
      <c r="H184" s="30"/>
      <c r="I184" s="49"/>
      <c r="J184" s="35"/>
      <c r="K184" s="35"/>
      <c r="L184" s="27"/>
    </row>
    <row r="185" spans="1:12" ht="15.75" x14ac:dyDescent="0.25">
      <c r="A185" s="80" t="s">
        <v>83</v>
      </c>
      <c r="B185" s="98">
        <v>-152.44025740999996</v>
      </c>
      <c r="C185" s="98">
        <v>-139.70661257000003</v>
      </c>
      <c r="D185" s="98">
        <v>-125.4</v>
      </c>
      <c r="E185" s="92">
        <v>-126.3</v>
      </c>
      <c r="F185" s="83">
        <v>-112.70158902999999</v>
      </c>
      <c r="G185" s="30"/>
      <c r="H185" s="30"/>
      <c r="I185" s="28"/>
      <c r="J185" s="90"/>
      <c r="K185" s="89"/>
      <c r="L185" s="27"/>
    </row>
    <row r="186" spans="1:12" ht="15.75" x14ac:dyDescent="0.25">
      <c r="A186" s="116" t="s">
        <v>84</v>
      </c>
      <c r="B186" s="53">
        <v>140.447463197731</v>
      </c>
      <c r="C186" s="53">
        <v>132.14290900291502</v>
      </c>
      <c r="D186" s="53">
        <v>115.24196385802</v>
      </c>
      <c r="E186" s="52">
        <v>114.98294989062799</v>
      </c>
      <c r="F186" s="52">
        <f>109.388294097006+2.4+1.22442624589999</f>
        <v>113.01272034290599</v>
      </c>
      <c r="G186" s="30"/>
      <c r="H186" s="30"/>
      <c r="I186" s="49"/>
      <c r="J186" s="35"/>
      <c r="K186" s="35"/>
      <c r="L186" s="27"/>
    </row>
    <row r="187" spans="1:12" ht="15.75" x14ac:dyDescent="0.25">
      <c r="A187" s="18" t="s">
        <v>85</v>
      </c>
      <c r="B187" s="53">
        <v>60.938495800000005</v>
      </c>
      <c r="C187" s="53">
        <v>52.617750000000001</v>
      </c>
      <c r="D187" s="53">
        <v>36.729966810800001</v>
      </c>
      <c r="E187" s="64">
        <v>35.710057556400002</v>
      </c>
      <c r="F187" s="64">
        <v>9.3487595600000013</v>
      </c>
      <c r="G187" s="30"/>
      <c r="H187" s="30"/>
      <c r="I187" s="49"/>
      <c r="J187" s="35"/>
      <c r="K187" s="35"/>
      <c r="L187" s="27"/>
    </row>
    <row r="188" spans="1:12" ht="15.75" x14ac:dyDescent="0.25">
      <c r="A188" s="18" t="s">
        <v>97</v>
      </c>
      <c r="B188" s="53">
        <v>-21.78833595</v>
      </c>
      <c r="C188" s="53">
        <v>-24.374831950000001</v>
      </c>
      <c r="D188" s="53">
        <v>-20.765348500000002</v>
      </c>
      <c r="E188" s="64">
        <v>-22.318695850000001</v>
      </c>
      <c r="F188" s="64"/>
      <c r="G188" s="30"/>
      <c r="H188" s="30"/>
      <c r="I188" s="49"/>
      <c r="J188" s="35"/>
      <c r="K188" s="35"/>
      <c r="L188" s="27"/>
    </row>
    <row r="189" spans="1:12" ht="15.75" x14ac:dyDescent="0.25">
      <c r="A189" s="15" t="s">
        <v>35</v>
      </c>
      <c r="B189" s="70">
        <f>SUM(B186:B188)</f>
        <v>179.59762304773099</v>
      </c>
      <c r="C189" s="70">
        <f t="shared" ref="C189:E189" si="0">SUM(C186:C188)</f>
        <v>160.38582705291503</v>
      </c>
      <c r="D189" s="70">
        <f t="shared" si="0"/>
        <v>131.20658216881998</v>
      </c>
      <c r="E189" s="70">
        <f t="shared" si="0"/>
        <v>128.37431159702797</v>
      </c>
      <c r="F189" s="54">
        <f>SUM(F186:F187)</f>
        <v>122.361479902906</v>
      </c>
      <c r="G189" s="30"/>
      <c r="H189" s="30"/>
      <c r="I189" s="49"/>
      <c r="J189" s="35"/>
      <c r="K189" s="35"/>
      <c r="L189" s="27"/>
    </row>
    <row r="190" spans="1:12" ht="16.5" x14ac:dyDescent="0.25">
      <c r="A190" s="12" t="s">
        <v>69</v>
      </c>
      <c r="B190" s="99">
        <f>-B185/B189</f>
        <v>0.8487877223713951</v>
      </c>
      <c r="C190" s="99">
        <f>-C185/C189</f>
        <v>0.87106582381439202</v>
      </c>
      <c r="D190" s="99">
        <f>-D185/D189</f>
        <v>0.95574473419825234</v>
      </c>
      <c r="E190" s="93">
        <f>-E185/E189</f>
        <v>0.98384169253783949</v>
      </c>
      <c r="F190" s="93">
        <f>-F185/F189</f>
        <v>0.92105447825107101</v>
      </c>
      <c r="G190" s="30"/>
      <c r="H190" s="30"/>
      <c r="I190" s="33"/>
      <c r="J190" s="27"/>
      <c r="K190" s="27"/>
      <c r="L190" s="27"/>
    </row>
    <row r="191" spans="1:12" ht="15.75" x14ac:dyDescent="0.25">
      <c r="B191" s="96"/>
      <c r="C191" s="96"/>
      <c r="D191" s="96"/>
      <c r="E191" s="31"/>
      <c r="F191" s="31"/>
      <c r="G191" s="30"/>
      <c r="H191" s="30"/>
      <c r="I191" s="33"/>
      <c r="J191" s="27"/>
      <c r="K191" s="27"/>
      <c r="L191" s="27"/>
    </row>
    <row r="192" spans="1:12" ht="15.75" x14ac:dyDescent="0.25">
      <c r="A192" s="15"/>
      <c r="B192" s="27"/>
      <c r="C192" s="27"/>
      <c r="D192" s="27"/>
      <c r="E192" s="35"/>
      <c r="F192" s="35"/>
      <c r="G192" s="36"/>
      <c r="H192" s="30"/>
      <c r="I192" s="33"/>
      <c r="J192" s="27"/>
      <c r="K192" s="27"/>
      <c r="L192" s="27"/>
    </row>
    <row r="193" spans="1:11" ht="15.75" x14ac:dyDescent="0.25">
      <c r="A193" s="15"/>
      <c r="B193" s="15"/>
      <c r="C193" s="15"/>
      <c r="D193" s="15"/>
      <c r="E193" s="15"/>
      <c r="F193" s="15"/>
      <c r="G193" s="16"/>
    </row>
    <row r="194" spans="1:11" ht="15.75" x14ac:dyDescent="0.25">
      <c r="B194" s="23"/>
      <c r="C194" s="23"/>
      <c r="D194" s="23"/>
      <c r="E194" s="23"/>
      <c r="F194" s="23"/>
      <c r="G194" s="24"/>
      <c r="H194" s="40"/>
      <c r="I194" s="40"/>
      <c r="J194" s="51"/>
      <c r="K194" s="51"/>
    </row>
    <row r="195" spans="1:11" ht="18" x14ac:dyDescent="0.25">
      <c r="A195" s="113" t="s">
        <v>86</v>
      </c>
      <c r="B195" s="15"/>
      <c r="C195" s="15"/>
      <c r="D195" s="15"/>
      <c r="E195" s="15"/>
      <c r="F195" s="15"/>
      <c r="G195" s="33" t="s">
        <v>1</v>
      </c>
    </row>
    <row r="196" spans="1:11" ht="15.75" x14ac:dyDescent="0.25">
      <c r="B196" s="23" t="s">
        <v>26</v>
      </c>
      <c r="C196" s="23" t="s">
        <v>23</v>
      </c>
      <c r="D196" s="23" t="s">
        <v>22</v>
      </c>
      <c r="E196" s="23" t="s">
        <v>19</v>
      </c>
      <c r="G196" s="30"/>
    </row>
    <row r="197" spans="1:11" ht="16.5" x14ac:dyDescent="0.25">
      <c r="A197" s="14" t="s">
        <v>87</v>
      </c>
      <c r="G197" s="30"/>
    </row>
    <row r="198" spans="1:11" ht="15.75" x14ac:dyDescent="0.25">
      <c r="A198" s="15"/>
      <c r="B198" s="15"/>
      <c r="C198" s="15"/>
      <c r="D198" s="15"/>
      <c r="E198" s="16"/>
      <c r="F198" s="16"/>
      <c r="G198" s="16"/>
      <c r="I198" s="33"/>
      <c r="J198" s="17"/>
    </row>
    <row r="199" spans="1:11" x14ac:dyDescent="0.2">
      <c r="A199" s="76" t="s">
        <v>88</v>
      </c>
      <c r="B199" s="85">
        <v>8969.101978030676</v>
      </c>
      <c r="C199" s="85">
        <f>C27</f>
        <v>12788.291279719901</v>
      </c>
      <c r="D199" s="85">
        <f>D27</f>
        <v>11418.43312213</v>
      </c>
      <c r="E199" s="83">
        <v>11907.75905441</v>
      </c>
      <c r="F199" s="83">
        <v>12386.017020220001</v>
      </c>
      <c r="G199" s="30"/>
      <c r="H199" s="30"/>
    </row>
    <row r="200" spans="1:11" x14ac:dyDescent="0.2">
      <c r="A200" s="55" t="s">
        <v>89</v>
      </c>
      <c r="B200" s="53">
        <v>514.36931500000003</v>
      </c>
      <c r="C200" s="53">
        <v>546.81189400000005</v>
      </c>
      <c r="D200" s="53">
        <v>555.35185000000001</v>
      </c>
      <c r="E200" s="52">
        <v>555.35185000000001</v>
      </c>
      <c r="F200" s="52">
        <v>555.35185000000001</v>
      </c>
      <c r="G200" s="52"/>
      <c r="H200" s="52"/>
    </row>
    <row r="201" spans="1:11" ht="16.5" x14ac:dyDescent="0.25">
      <c r="A201" s="14" t="s">
        <v>87</v>
      </c>
      <c r="B201" s="27">
        <f>+B199/B200</f>
        <v>17.437085993418318</v>
      </c>
      <c r="C201" s="27">
        <f>+C199/C200</f>
        <v>23.387002770133414</v>
      </c>
      <c r="D201" s="27">
        <f>+D199/D200</f>
        <v>20.560718618529854</v>
      </c>
      <c r="E201" s="27">
        <f>+E199/E200</f>
        <v>21.441828373147583</v>
      </c>
      <c r="F201" s="27">
        <f>+F199/F200</f>
        <v>22.303008480515551</v>
      </c>
      <c r="G201" s="33"/>
      <c r="H201" s="33"/>
    </row>
    <row r="202" spans="1:11" ht="15.75" x14ac:dyDescent="0.25">
      <c r="A202" s="15"/>
      <c r="B202" s="27"/>
      <c r="C202" s="27"/>
      <c r="D202" s="27"/>
      <c r="E202" s="27"/>
      <c r="F202" s="27"/>
      <c r="G202" s="33"/>
      <c r="H202" s="33"/>
    </row>
    <row r="203" spans="1:11" ht="16.5" x14ac:dyDescent="0.25">
      <c r="A203" s="14" t="s">
        <v>90</v>
      </c>
      <c r="H203" s="39"/>
    </row>
    <row r="204" spans="1:11" ht="16.5" x14ac:dyDescent="0.25">
      <c r="A204" s="14"/>
      <c r="H204" s="39"/>
    </row>
    <row r="205" spans="1:11" x14ac:dyDescent="0.2">
      <c r="A205" s="77" t="s">
        <v>88</v>
      </c>
      <c r="B205" s="53">
        <f>B199</f>
        <v>8969.101978030676</v>
      </c>
      <c r="C205" s="53">
        <f>C199</f>
        <v>12788.291279719901</v>
      </c>
      <c r="D205" s="53">
        <f>D199</f>
        <v>11418.43312213</v>
      </c>
      <c r="E205" s="52">
        <f>E199</f>
        <v>11907.75905441</v>
      </c>
      <c r="F205" s="52">
        <f>F199</f>
        <v>12386.017020220001</v>
      </c>
      <c r="G205" s="30"/>
      <c r="H205" s="30"/>
      <c r="I205" s="30"/>
    </row>
    <row r="206" spans="1:11" x14ac:dyDescent="0.2">
      <c r="A206" s="18" t="s">
        <v>91</v>
      </c>
      <c r="B206" s="119" t="s">
        <v>25</v>
      </c>
      <c r="C206" s="53">
        <f>C13</f>
        <v>0</v>
      </c>
      <c r="D206" s="53">
        <f>D13</f>
        <v>37.811509809999997</v>
      </c>
      <c r="E206" s="53">
        <f>E13</f>
        <v>34.46875069</v>
      </c>
      <c r="F206" s="53">
        <f>F13</f>
        <v>33.639911040000001</v>
      </c>
      <c r="G206" s="30"/>
      <c r="H206" s="30"/>
      <c r="I206" s="30"/>
    </row>
    <row r="207" spans="1:11" x14ac:dyDescent="0.2">
      <c r="A207" s="18" t="s">
        <v>92</v>
      </c>
      <c r="B207" s="53">
        <v>671.9585940999998</v>
      </c>
      <c r="C207" s="53">
        <v>1144.9323736700001</v>
      </c>
      <c r="D207" s="53">
        <v>-438.95133089746002</v>
      </c>
      <c r="E207" s="53">
        <v>-436.56901174066002</v>
      </c>
      <c r="F207" s="53">
        <v>-972.8633317</v>
      </c>
      <c r="G207" s="56"/>
      <c r="H207" s="30"/>
      <c r="I207" s="30"/>
    </row>
    <row r="208" spans="1:11" x14ac:dyDescent="0.2">
      <c r="A208" s="80" t="s">
        <v>93</v>
      </c>
      <c r="B208" s="121" t="s">
        <v>25</v>
      </c>
      <c r="C208" s="85">
        <f>C206*-0.2</f>
        <v>0</v>
      </c>
      <c r="D208" s="85">
        <f>D206*-0.2</f>
        <v>-7.5623019619999994</v>
      </c>
      <c r="E208" s="85">
        <f>E206*-0.2</f>
        <v>-6.8937501380000006</v>
      </c>
      <c r="F208" s="85">
        <f>F206*-0.2</f>
        <v>-6.7279822080000002</v>
      </c>
      <c r="G208" s="30"/>
      <c r="H208" s="30"/>
    </row>
    <row r="209" spans="1:10" ht="15.75" x14ac:dyDescent="0.25">
      <c r="A209" s="15" t="s">
        <v>35</v>
      </c>
      <c r="B209" s="70">
        <f>SUM(B205:B208)</f>
        <v>9641.0605721306765</v>
      </c>
      <c r="C209" s="70">
        <f>SUM(C205:C208)</f>
        <v>13933.223653389901</v>
      </c>
      <c r="D209" s="70">
        <f>SUM(D205:D208)</f>
        <v>11009.730999080541</v>
      </c>
      <c r="E209" s="70">
        <f>SUM(E205:E208)</f>
        <v>11498.765043221341</v>
      </c>
      <c r="F209" s="70">
        <f>SUM(F205:F208)</f>
        <v>11440.065617352</v>
      </c>
      <c r="G209" s="30"/>
      <c r="H209" s="30"/>
      <c r="I209" s="30"/>
    </row>
    <row r="210" spans="1:10" x14ac:dyDescent="0.2">
      <c r="A210" s="55" t="s">
        <v>89</v>
      </c>
      <c r="B210" s="53">
        <f>B200</f>
        <v>514.36931500000003</v>
      </c>
      <c r="C210" s="53">
        <f>C200</f>
        <v>546.81189400000005</v>
      </c>
      <c r="D210" s="53">
        <v>555.35185000000001</v>
      </c>
      <c r="E210" s="52">
        <v>555.35185000000001</v>
      </c>
      <c r="F210" s="52">
        <v>555.35185000000001</v>
      </c>
      <c r="G210" s="52"/>
      <c r="H210" s="52"/>
      <c r="I210" s="30"/>
    </row>
    <row r="211" spans="1:10" ht="16.5" x14ac:dyDescent="0.25">
      <c r="A211" s="14" t="s">
        <v>90</v>
      </c>
      <c r="B211" s="27">
        <f>B209/B210</f>
        <v>18.743459788480337</v>
      </c>
      <c r="C211" s="27">
        <f>C209/C210</f>
        <v>25.480835011591573</v>
      </c>
      <c r="D211" s="27">
        <f>D209/D210</f>
        <v>19.824784952243412</v>
      </c>
      <c r="E211" s="27">
        <f>E209/E210</f>
        <v>20.70536911549199</v>
      </c>
      <c r="F211" s="27">
        <f>F209/F210</f>
        <v>20.599671392743176</v>
      </c>
      <c r="G211" s="33"/>
      <c r="H211" s="33"/>
    </row>
    <row r="212" spans="1:10" ht="15.75" x14ac:dyDescent="0.25">
      <c r="A212" s="57"/>
      <c r="B212" s="15"/>
      <c r="C212" s="15"/>
      <c r="D212" s="15"/>
      <c r="E212" s="15"/>
      <c r="F212" s="15"/>
      <c r="G212" s="16"/>
      <c r="H212" s="39"/>
    </row>
    <row r="213" spans="1:10" ht="16.5" x14ac:dyDescent="0.25">
      <c r="A213" s="14" t="s">
        <v>94</v>
      </c>
      <c r="B213" s="57"/>
      <c r="C213" s="57"/>
      <c r="D213" s="57"/>
      <c r="E213" s="57"/>
      <c r="F213" s="57"/>
      <c r="G213" s="16"/>
      <c r="H213" s="39"/>
      <c r="J213" s="18" t="s">
        <v>1</v>
      </c>
    </row>
    <row r="214" spans="1:10" ht="16.5" x14ac:dyDescent="0.25">
      <c r="A214" s="14"/>
      <c r="B214" s="57"/>
      <c r="C214" s="57"/>
      <c r="D214" s="57"/>
      <c r="E214" s="57"/>
      <c r="F214" s="57"/>
      <c r="G214" s="16"/>
      <c r="H214" s="39"/>
    </row>
    <row r="215" spans="1:10" x14ac:dyDescent="0.2">
      <c r="A215" s="82" t="s">
        <v>89</v>
      </c>
      <c r="B215" s="85">
        <f>B210</f>
        <v>514.36931500000003</v>
      </c>
      <c r="C215" s="85">
        <f>C210</f>
        <v>546.81189400000005</v>
      </c>
      <c r="D215" s="85">
        <v>555.35185000000001</v>
      </c>
      <c r="E215" s="83">
        <v>555.35185000000001</v>
      </c>
      <c r="F215" s="83">
        <v>555.35185000000001</v>
      </c>
      <c r="G215" s="52"/>
      <c r="H215" s="39"/>
    </row>
    <row r="216" spans="1:10" x14ac:dyDescent="0.2">
      <c r="A216" s="55" t="s">
        <v>95</v>
      </c>
      <c r="B216" s="29">
        <v>48.82</v>
      </c>
      <c r="C216" s="29">
        <v>44.06</v>
      </c>
      <c r="D216" s="29">
        <v>34.57</v>
      </c>
      <c r="E216" s="30">
        <v>38.909999999999997</v>
      </c>
      <c r="F216" s="30">
        <v>38.409999999999997</v>
      </c>
      <c r="G216" s="30"/>
      <c r="H216" s="39"/>
    </row>
    <row r="217" spans="1:10" s="15" customFormat="1" ht="16.5" x14ac:dyDescent="0.25">
      <c r="A217" s="14" t="s">
        <v>94</v>
      </c>
      <c r="B217" s="70">
        <f>+B215*B216</f>
        <v>25111.509958300001</v>
      </c>
      <c r="C217" s="70">
        <f>+C215*C216</f>
        <v>24092.532049640002</v>
      </c>
      <c r="D217" s="70">
        <f>+D215*D216</f>
        <v>19198.5134545</v>
      </c>
      <c r="E217" s="70">
        <f>+E215*E216</f>
        <v>21608.740483499998</v>
      </c>
      <c r="F217" s="70">
        <f>+F215*F216</f>
        <v>21331.064558499998</v>
      </c>
      <c r="G217" s="33"/>
      <c r="H217" s="39"/>
      <c r="I217" s="17"/>
    </row>
    <row r="218" spans="1:10" ht="15.75" x14ac:dyDescent="0.25">
      <c r="H218" s="39"/>
      <c r="I218" s="16"/>
    </row>
    <row r="219" spans="1:10" s="15" customFormat="1" ht="15.75" hidden="1" x14ac:dyDescent="0.25">
      <c r="A219" s="15" t="s">
        <v>3</v>
      </c>
      <c r="B219" s="70"/>
      <c r="C219" s="70"/>
      <c r="D219" s="70"/>
      <c r="E219" s="54"/>
      <c r="F219" s="54">
        <v>750748018</v>
      </c>
      <c r="G219" s="54"/>
      <c r="H219" s="39"/>
      <c r="I219" s="17"/>
    </row>
    <row r="220" spans="1:10" ht="15.75" hidden="1" x14ac:dyDescent="0.25">
      <c r="I220" s="16"/>
    </row>
    <row r="222" spans="1:10" ht="15.75" hidden="1" x14ac:dyDescent="0.25">
      <c r="A222" s="58" t="s">
        <v>4</v>
      </c>
      <c r="B222" s="59"/>
      <c r="C222" s="59"/>
      <c r="D222" s="59"/>
      <c r="E222" s="59"/>
      <c r="F222" s="59"/>
      <c r="G222" s="60"/>
    </row>
    <row r="223" spans="1:10" ht="15.75" hidden="1" x14ac:dyDescent="0.25">
      <c r="A223" s="61"/>
      <c r="B223" s="23"/>
      <c r="C223" s="23"/>
      <c r="D223" s="23"/>
      <c r="E223" s="23" t="s">
        <v>5</v>
      </c>
      <c r="F223" s="23" t="s">
        <v>6</v>
      </c>
      <c r="G223" s="62"/>
      <c r="H223" s="52"/>
    </row>
    <row r="224" spans="1:10" hidden="1" x14ac:dyDescent="0.2">
      <c r="A224" s="63" t="s">
        <v>7</v>
      </c>
      <c r="B224" s="53"/>
      <c r="C224" s="53"/>
      <c r="D224" s="53"/>
      <c r="E224" s="64">
        <v>560000000</v>
      </c>
      <c r="F224" s="64">
        <v>560000000</v>
      </c>
      <c r="G224" s="64"/>
      <c r="H224" s="64"/>
      <c r="I224" s="64"/>
      <c r="J224" s="53"/>
    </row>
    <row r="225" spans="1:10" hidden="1" x14ac:dyDescent="0.2">
      <c r="A225" s="63" t="s">
        <v>8</v>
      </c>
      <c r="B225" s="100"/>
      <c r="C225" s="100"/>
      <c r="D225" s="100"/>
      <c r="E225" s="65">
        <f>(560000000*365)/365</f>
        <v>560000000</v>
      </c>
      <c r="F225" s="65">
        <f>(560000000*365)/365</f>
        <v>560000000</v>
      </c>
      <c r="G225" s="64"/>
      <c r="H225" s="64"/>
      <c r="I225" s="64"/>
    </row>
    <row r="226" spans="1:10" hidden="1" x14ac:dyDescent="0.2">
      <c r="A226" s="63"/>
      <c r="E226" s="28"/>
      <c r="F226" s="28"/>
      <c r="G226" s="64"/>
    </row>
    <row r="227" spans="1:10" ht="15.75" hidden="1" x14ac:dyDescent="0.25">
      <c r="A227" s="66" t="s">
        <v>9</v>
      </c>
      <c r="B227" s="101"/>
      <c r="C227" s="101"/>
      <c r="D227" s="101"/>
      <c r="E227" s="25"/>
      <c r="F227" s="25"/>
      <c r="G227" s="64"/>
      <c r="J227" s="18" t="s">
        <v>10</v>
      </c>
    </row>
    <row r="228" spans="1:10" hidden="1" x14ac:dyDescent="0.2">
      <c r="A228" s="67" t="s">
        <v>7</v>
      </c>
      <c r="B228" s="102"/>
      <c r="C228" s="102"/>
      <c r="D228" s="102"/>
      <c r="E228" s="68" t="e">
        <f>#REF!</f>
        <v>#REF!</v>
      </c>
      <c r="F228" s="68">
        <v>560000000</v>
      </c>
      <c r="G228" s="64"/>
      <c r="H228" s="52"/>
      <c r="I228" s="64"/>
    </row>
    <row r="229" spans="1:10" hidden="1" x14ac:dyDescent="0.2">
      <c r="A229" s="67" t="s">
        <v>8</v>
      </c>
      <c r="B229" s="102"/>
      <c r="C229" s="102"/>
      <c r="D229" s="102"/>
      <c r="E229" s="68" t="e">
        <f>#REF!</f>
        <v>#REF!</v>
      </c>
      <c r="F229" s="68">
        <v>560000000</v>
      </c>
      <c r="G229" s="64" t="s">
        <v>1</v>
      </c>
      <c r="H229" s="52"/>
      <c r="I229" s="64"/>
    </row>
    <row r="230" spans="1:10" hidden="1" x14ac:dyDescent="0.2">
      <c r="A230" s="63"/>
      <c r="E230" s="28"/>
      <c r="F230" s="28"/>
      <c r="G230" s="69"/>
      <c r="I230" s="52"/>
    </row>
    <row r="231" spans="1:10" ht="15.75" hidden="1" x14ac:dyDescent="0.25">
      <c r="A231" s="70" t="s">
        <v>11</v>
      </c>
      <c r="B231" s="70"/>
      <c r="C231" s="70"/>
      <c r="D231" s="70"/>
      <c r="E231" s="70"/>
      <c r="F231" s="70"/>
      <c r="G231" s="54"/>
    </row>
    <row r="232" spans="1:10" hidden="1" x14ac:dyDescent="0.2">
      <c r="A232" s="117" t="s">
        <v>12</v>
      </c>
      <c r="E232" s="18" t="s">
        <v>13</v>
      </c>
      <c r="F232" s="18" t="s">
        <v>14</v>
      </c>
    </row>
    <row r="233" spans="1:10" hidden="1" x14ac:dyDescent="0.2">
      <c r="A233" s="117">
        <v>0</v>
      </c>
      <c r="E233" s="18">
        <v>0</v>
      </c>
      <c r="F233" s="18">
        <v>99</v>
      </c>
    </row>
    <row r="234" spans="1:10" ht="15.75" hidden="1" x14ac:dyDescent="0.25">
      <c r="A234" s="53"/>
      <c r="B234" s="53"/>
      <c r="C234" s="53"/>
      <c r="D234" s="53"/>
      <c r="E234" s="53">
        <f>SUM(E233:E233)</f>
        <v>0</v>
      </c>
      <c r="F234" s="53">
        <f>SUM(F233:F233)</f>
        <v>99</v>
      </c>
      <c r="G234" s="16" t="s">
        <v>15</v>
      </c>
      <c r="I234" s="52"/>
    </row>
    <row r="235" spans="1:10" hidden="1" x14ac:dyDescent="0.2">
      <c r="A235" s="53"/>
      <c r="B235" s="53"/>
      <c r="C235" s="53"/>
      <c r="D235" s="53"/>
      <c r="E235" s="53"/>
      <c r="F235" s="53"/>
      <c r="I235" s="52"/>
    </row>
    <row r="236" spans="1:10" ht="15.75" hidden="1" x14ac:dyDescent="0.25">
      <c r="A236" s="70">
        <f>(A233*E233)/99</f>
        <v>0</v>
      </c>
      <c r="B236" s="70"/>
      <c r="C236" s="70"/>
      <c r="D236" s="70"/>
      <c r="E236" s="70"/>
      <c r="F236" s="70"/>
      <c r="G236" s="15" t="s">
        <v>16</v>
      </c>
      <c r="H236" s="16"/>
      <c r="I236" s="71"/>
    </row>
    <row r="237" spans="1:10" ht="15.75" hidden="1" x14ac:dyDescent="0.25">
      <c r="A237" s="53"/>
      <c r="B237" s="53"/>
      <c r="C237" s="53"/>
      <c r="D237" s="53"/>
      <c r="E237" s="53"/>
      <c r="F237" s="53"/>
      <c r="G237" s="16"/>
    </row>
    <row r="238" spans="1:10" ht="15.75" hidden="1" x14ac:dyDescent="0.25">
      <c r="A238" s="53"/>
      <c r="B238" s="53"/>
      <c r="C238" s="53"/>
      <c r="D238" s="53"/>
      <c r="E238" s="53"/>
      <c r="F238" s="53"/>
      <c r="G238" s="16"/>
    </row>
    <row r="239" spans="1:10" ht="15.75" hidden="1" x14ac:dyDescent="0.25">
      <c r="A239" s="15" t="s">
        <v>17</v>
      </c>
      <c r="E239" s="18" t="s">
        <v>1</v>
      </c>
      <c r="H239" s="52"/>
    </row>
    <row r="240" spans="1:10" hidden="1" x14ac:dyDescent="0.2"/>
    <row r="241" spans="1:13" hidden="1" x14ac:dyDescent="0.2">
      <c r="A241" s="53"/>
    </row>
    <row r="242" spans="1:13" hidden="1" x14ac:dyDescent="0.2">
      <c r="A242" s="53">
        <v>560000000</v>
      </c>
      <c r="E242" s="18">
        <f>-E233</f>
        <v>0</v>
      </c>
      <c r="F242" s="18">
        <v>99</v>
      </c>
    </row>
    <row r="243" spans="1:13" hidden="1" x14ac:dyDescent="0.2">
      <c r="A243" s="53">
        <f>A242+D242</f>
        <v>560000000</v>
      </c>
      <c r="F243" s="18">
        <v>0</v>
      </c>
    </row>
    <row r="244" spans="1:13" hidden="1" x14ac:dyDescent="0.2">
      <c r="A244" s="53"/>
      <c r="B244" s="53"/>
      <c r="C244" s="53"/>
      <c r="D244" s="53"/>
      <c r="E244" s="53"/>
      <c r="F244" s="53"/>
    </row>
    <row r="245" spans="1:13" ht="15.75" hidden="1" x14ac:dyDescent="0.25">
      <c r="B245" s="70"/>
      <c r="C245" s="70"/>
      <c r="D245" s="70"/>
      <c r="E245" s="70"/>
      <c r="F245" s="70">
        <f>SUM(F242:F244)</f>
        <v>99</v>
      </c>
      <c r="G245" s="54"/>
    </row>
    <row r="246" spans="1:13" ht="15.75" hidden="1" x14ac:dyDescent="0.25">
      <c r="A246" s="72">
        <f>(A242*E242+A243*E243)/99</f>
        <v>0</v>
      </c>
      <c r="H246" s="16"/>
    </row>
    <row r="247" spans="1:13" hidden="1" x14ac:dyDescent="0.2"/>
    <row r="248" spans="1:13" hidden="1" x14ac:dyDescent="0.2">
      <c r="B248" s="53"/>
      <c r="C248" s="53"/>
      <c r="D248" s="53"/>
      <c r="E248" s="53"/>
      <c r="F248" s="53"/>
    </row>
    <row r="249" spans="1:13" hidden="1" x14ac:dyDescent="0.2">
      <c r="A249" s="53"/>
      <c r="B249" s="53"/>
      <c r="C249" s="53"/>
      <c r="D249" s="53"/>
      <c r="E249" s="53"/>
      <c r="F249" s="53"/>
    </row>
    <row r="250" spans="1:13" hidden="1" x14ac:dyDescent="0.2">
      <c r="A250" s="53"/>
      <c r="B250" s="53"/>
      <c r="C250" s="53"/>
      <c r="D250" s="53"/>
      <c r="E250" s="53" t="e">
        <f>#REF!-#REF!</f>
        <v>#REF!</v>
      </c>
      <c r="F250" s="53"/>
    </row>
    <row r="251" spans="1:13" hidden="1" x14ac:dyDescent="0.2"/>
    <row r="252" spans="1:13" s="17" customFormat="1" hidden="1" x14ac:dyDescent="0.2">
      <c r="A252" s="18"/>
      <c r="B252" s="18"/>
      <c r="C252" s="18"/>
      <c r="D252" s="18"/>
      <c r="E252" s="18"/>
      <c r="F252" s="18"/>
      <c r="J252" s="18"/>
      <c r="K252" s="18"/>
      <c r="L252" s="18"/>
      <c r="M252" s="18"/>
    </row>
    <row r="253" spans="1:13" s="17" customFormat="1" hidden="1" x14ac:dyDescent="0.2">
      <c r="A253" s="53"/>
      <c r="B253" s="53"/>
      <c r="C253" s="53"/>
      <c r="D253" s="53"/>
      <c r="E253" s="64"/>
      <c r="F253" s="64"/>
      <c r="J253" s="18"/>
      <c r="K253" s="18"/>
      <c r="L253" s="18"/>
      <c r="M253" s="18"/>
    </row>
    <row r="254" spans="1:13" s="17" customFormat="1" hidden="1" x14ac:dyDescent="0.2">
      <c r="A254" s="18"/>
      <c r="B254" s="53"/>
      <c r="C254" s="53"/>
      <c r="D254" s="53"/>
      <c r="E254" s="64"/>
      <c r="F254" s="64"/>
      <c r="J254" s="18"/>
      <c r="K254" s="18"/>
      <c r="L254" s="18"/>
      <c r="M254" s="18"/>
    </row>
    <row r="255" spans="1:13" s="17" customFormat="1" hidden="1" x14ac:dyDescent="0.2">
      <c r="A255" s="18"/>
      <c r="B255" s="53"/>
      <c r="C255" s="53"/>
      <c r="D255" s="53"/>
      <c r="E255" s="64"/>
      <c r="F255" s="64"/>
      <c r="J255" s="18"/>
      <c r="K255" s="18"/>
      <c r="L255" s="18"/>
      <c r="M255" s="18"/>
    </row>
    <row r="256" spans="1:13" s="17" customFormat="1" hidden="1" x14ac:dyDescent="0.2">
      <c r="A256" s="18"/>
      <c r="B256" s="53"/>
      <c r="C256" s="53"/>
      <c r="D256" s="53"/>
      <c r="E256" s="64"/>
      <c r="F256" s="64"/>
      <c r="J256" s="18"/>
      <c r="K256" s="18"/>
      <c r="L256" s="18"/>
      <c r="M256" s="18"/>
    </row>
  </sheetData>
  <pageMargins left="0.7" right="0.7" top="0.75" bottom="0.75" header="0.3" footer="0.3"/>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Määritelmät</vt:lpstr>
      <vt:lpstr>Siltalaskelmat</vt:lpstr>
      <vt:lpstr>Määritelmät!Print_Area</vt:lpstr>
      <vt:lpstr>Siltalaskelmat!Print_Area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2023-03-30T09:50:06Z</dcterms:created>
  <dcterms:modified xsi:type="dcterms:W3CDTF">2023-03-30T09:50:09Z</dcterms:modified>
</cp:coreProperties>
</file>